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Default Extension="jpeg" ContentType="image/jpeg"/>
  <Override PartName="/xl/drawings/drawing5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7520" windowHeight="9975" tabRatio="916" firstSheet="1" activeTab="3"/>
  </bookViews>
  <sheets>
    <sheet name="สรุป ปปช." sheetId="23" r:id="rId1"/>
    <sheet name="ปก" sheetId="20" r:id="rId2"/>
    <sheet name="Soil" sheetId="19" r:id="rId3"/>
    <sheet name="ปร.5 ท" sheetId="12" r:id="rId4"/>
    <sheet name="ปร.4_1" sheetId="14" r:id="rId5"/>
    <sheet name="ปร.4_2" sheetId="4" r:id="rId6"/>
    <sheet name="ปร.4_1 ท" sheetId="13" r:id="rId7"/>
    <sheet name="ทางเชื่อม (AC)" sheetId="21" r:id="rId8"/>
    <sheet name="เปรียบเทียบราคาวัสดุ" sheetId="18" r:id="rId9"/>
    <sheet name="ข้อมูลแหล่งราคาวัสดุ" sheetId="6" r:id="rId10"/>
    <sheet name="ราคาต้นทุนงานทาง" sheetId="11" r:id="rId11"/>
    <sheet name="งานป้ายจราจรระหว่างการก่อสร" sheetId="22" r:id="rId12"/>
    <sheet name="ค่าดำเนินการ" sheetId="5" r:id="rId13"/>
    <sheet name="บรรทุกสิบล้อ" sheetId="17" r:id="rId14"/>
    <sheet name="บรรทุกสิบล้อ+ลากพ่วง" sheetId="16" r:id="rId15"/>
    <sheet name="F ทาง" sheetId="2" r:id="rId16"/>
    <sheet name="F สะพาน" sheetId="3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 localSheetId="11">#REF!</definedName>
    <definedName name="\a" localSheetId="0">#REF!</definedName>
    <definedName name="\a">#REF!</definedName>
    <definedName name="\z" localSheetId="0">#REF!</definedName>
    <definedName name="\z">#REF!</definedName>
    <definedName name="_" localSheetId="11">'[1]ราคาต่อหน่วย2-9'!#REF!</definedName>
    <definedName name="_" localSheetId="7">'[2]ราคาต่อหน่วย2-9'!#REF!</definedName>
    <definedName name="_" localSheetId="0">'[2]ราคาต่อหน่วย2-9'!#REF!</definedName>
    <definedName name="_">'[2]ราคาต่อหน่วย2-9'!#REF!</definedName>
    <definedName name="_con2">[3]แหล่งวัสดุ!$E$51</definedName>
    <definedName name="_con4">[3]แหล่งวัสดุ!$E$53</definedName>
    <definedName name="_cut1" localSheetId="2">[4]ค่างานต้นทุน!$H$18</definedName>
    <definedName name="_cut1" localSheetId="7">[4]ค่างานต้นทุน!$H$18</definedName>
    <definedName name="_cut1">[5]ค่างานต้นทุน!$H$18</definedName>
    <definedName name="_ftf2" localSheetId="7">'[6]หา FACTOR F'!$K$34</definedName>
    <definedName name="_ftf2">'[6]หา FACTOR F'!$K$34</definedName>
    <definedName name="_ftf3" localSheetId="7">'[6]หา FACTOR F'!$K$51</definedName>
    <definedName name="_ftf3">'[6]หา FACTOR F'!$K$51</definedName>
    <definedName name="_ml1" localSheetId="11">#REF!</definedName>
    <definedName name="_ml1" localSheetId="7">#REF!</definedName>
    <definedName name="_ml1">#REF!</definedName>
    <definedName name="_RB9">'[7]ต้นทุนcon,steel&amp;แบบ'!$J$184</definedName>
    <definedName name="_sp1" localSheetId="11">#REF!</definedName>
    <definedName name="_sp1" localSheetId="7">#REF!</definedName>
    <definedName name="_sp1">#REF!</definedName>
    <definedName name="_tc1" localSheetId="7">#REF!</definedName>
    <definedName name="_tc1">#REF!</definedName>
    <definedName name="AT" localSheetId="7">#REF!</definedName>
    <definedName name="AT">#REF!</definedName>
    <definedName name="AV.SP">#REF!</definedName>
    <definedName name="av1.sp">#REF!</definedName>
    <definedName name="b1a" localSheetId="11">[8]unitcost!#REF!</definedName>
    <definedName name="b1a" localSheetId="7">[8]unitcost!#REF!</definedName>
    <definedName name="b1a">[8]unitcost!#REF!</definedName>
    <definedName name="b1d" localSheetId="7">[8]unitcost!#REF!</definedName>
    <definedName name="b1d">[8]unitcost!#REF!</definedName>
    <definedName name="b1l" localSheetId="7">[8]unitcost!#REF!</definedName>
    <definedName name="b1l">[8]unitcost!#REF!</definedName>
    <definedName name="b2a" localSheetId="7">[8]unitcost!#REF!</definedName>
    <definedName name="b2a">[8]unitcost!#REF!</definedName>
    <definedName name="b2d" localSheetId="7">[8]unitcost!#REF!</definedName>
    <definedName name="b2d">[8]unitcost!#REF!</definedName>
    <definedName name="b2l" localSheetId="7">[8]unitcost!#REF!</definedName>
    <definedName name="b2l">[8]unitcost!#REF!</definedName>
    <definedName name="b3a" localSheetId="7">[8]unitcost!#REF!</definedName>
    <definedName name="b3a">[8]unitcost!#REF!</definedName>
    <definedName name="b3d" localSheetId="7">[8]unitcost!#REF!</definedName>
    <definedName name="b3d">[8]unitcost!#REF!</definedName>
    <definedName name="b3l" localSheetId="7">[8]unitcost!#REF!</definedName>
    <definedName name="b3l">[8]unitcost!#REF!</definedName>
    <definedName name="b4a" localSheetId="7">[8]unitcost!#REF!</definedName>
    <definedName name="b4a">[8]unitcost!#REF!</definedName>
    <definedName name="b4d" localSheetId="7">[8]unitcost!#REF!</definedName>
    <definedName name="b4d">[8]unitcost!#REF!</definedName>
    <definedName name="b4l" localSheetId="7">[8]unitcost!#REF!</definedName>
    <definedName name="b4l">[8]unitcost!#REF!</definedName>
    <definedName name="b5a" localSheetId="7">[8]unitcost!#REF!</definedName>
    <definedName name="b5a">[8]unitcost!#REF!</definedName>
    <definedName name="b5d" localSheetId="7">[8]unitcost!#REF!</definedName>
    <definedName name="b5d">[8]unitcost!#REF!</definedName>
    <definedName name="b5l" localSheetId="7">[8]unitcost!#REF!</definedName>
    <definedName name="b5l">[8]unitcost!#REF!</definedName>
    <definedName name="b6a" localSheetId="7">[8]unitcost!#REF!</definedName>
    <definedName name="b6a">[8]unitcost!#REF!</definedName>
    <definedName name="b6d" localSheetId="7">[8]unitcost!#REF!</definedName>
    <definedName name="b6d">[8]unitcost!#REF!</definedName>
    <definedName name="b6l" localSheetId="7">[8]unitcost!#REF!</definedName>
    <definedName name="b6l">[8]unitcost!#REF!</definedName>
    <definedName name="b7a" localSheetId="7">[8]unitcost!#REF!</definedName>
    <definedName name="b7a">[8]unitcost!#REF!</definedName>
    <definedName name="b7d" localSheetId="7">[8]unitcost!#REF!</definedName>
    <definedName name="b7d">[8]unitcost!#REF!</definedName>
    <definedName name="b7l" localSheetId="7">[8]unitcost!#REF!</definedName>
    <definedName name="b7l">[8]unitcost!#REF!</definedName>
    <definedName name="ben" localSheetId="2">[4]ค่างานต้นทุน!$H$11</definedName>
    <definedName name="ben" localSheetId="7">[4]ค่างานต้นทุน!$H$11</definedName>
    <definedName name="ben">[5]ค่างานต้นทุน!$H$11</definedName>
    <definedName name="Box_Cell" localSheetId="0">[9]ปร.4_2!$Z$63:$Z$67</definedName>
    <definedName name="Box_Cell">ปร.4_2!$Z$63:$Z$69</definedName>
    <definedName name="Box_size" localSheetId="0">[9]ปร.4_2!$AA$63:$AA$68</definedName>
    <definedName name="Box_size">ปร.4_2!$AA$63:$AA$70</definedName>
    <definedName name="BZ" localSheetId="11">#REF!</definedName>
    <definedName name="BZ" localSheetId="7">#REF!</definedName>
    <definedName name="BZ">#REF!</definedName>
    <definedName name="CR" localSheetId="7">#REF!</definedName>
    <definedName name="CR">#REF!</definedName>
    <definedName name="cs" localSheetId="2">[4]ค่างานต้นทุน!$H$106</definedName>
    <definedName name="cs" localSheetId="11">[5]ค่างานต้นทุน!$H$106</definedName>
    <definedName name="cs" localSheetId="7">[4]ค่างานต้นทุน!$H$106</definedName>
    <definedName name="cs">[5]ค่างานต้นทุน!$H$106</definedName>
    <definedName name="CT" localSheetId="11">#REF!</definedName>
    <definedName name="CT" localSheetId="7">#REF!</definedName>
    <definedName name="CT">#REF!</definedName>
    <definedName name="CV" localSheetId="7">#REF!</definedName>
    <definedName name="CV">#REF!</definedName>
    <definedName name="D" localSheetId="7">#REF!</definedName>
    <definedName name="D">#REF!</definedName>
    <definedName name="d5l" localSheetId="11">[8]unitcost!#REF!</definedName>
    <definedName name="d5l" localSheetId="7">[8]unitcost!#REF!</definedName>
    <definedName name="d5l">[8]unitcost!#REF!</definedName>
    <definedName name="_xlnm.Database">#REF!</definedName>
    <definedName name="Date" localSheetId="0">'[9]ปร.5 ท'!$R$2:$R$33</definedName>
    <definedName name="Date">'ปร.5 ท'!$T$2:$T$33</definedName>
    <definedName name="db12mm">[3]แหล่งวัสดุ!$F$30</definedName>
    <definedName name="db16mm">[3]แหล่งวัสดุ!$F$31</definedName>
    <definedName name="db20mm">[3]แหล่งวัสดุ!$F$32</definedName>
    <definedName name="dig" localSheetId="11">'[1]ราคาต่อหน่วย2-9'!$Q$2341</definedName>
    <definedName name="dig" localSheetId="7">'[2]ราคาต่อหน่วย2-9'!$Q$2341</definedName>
    <definedName name="dig">'[2]ราคาต่อหน่วย2-9'!$Q$2341</definedName>
    <definedName name="DS" localSheetId="7">#REF!</definedName>
    <definedName name="DS">#REF!</definedName>
    <definedName name="DT" localSheetId="7">#REF!</definedName>
    <definedName name="DT">#REF!</definedName>
    <definedName name="ER" localSheetId="7">#REF!</definedName>
    <definedName name="ER">#REF!</definedName>
    <definedName name="ffbn" localSheetId="11">[1]ปร4!#REF!</definedName>
    <definedName name="ffbn" localSheetId="7">[2]ปร4!#REF!</definedName>
    <definedName name="ffbn">[2]ปร4!#REF!</definedName>
    <definedName name="ffbridge" localSheetId="11">'[1]หา FACTORF'!$J$20</definedName>
    <definedName name="ffbridge" localSheetId="7">'[2]หา FACTORF'!$J$20</definedName>
    <definedName name="ffbridge">'[2]หา FACTORF'!$J$20</definedName>
    <definedName name="ffgen" localSheetId="11">'[1]หา FACTORF'!$J$4</definedName>
    <definedName name="ffgen" localSheetId="7">'[2]หา FACTORF'!$J$4</definedName>
    <definedName name="ffgen">'[2]หา FACTORF'!$J$4</definedName>
    <definedName name="ffrn" localSheetId="11">[1]ปร4!#REF!</definedName>
    <definedName name="ffrn" localSheetId="7">[2]ปร4!#REF!</definedName>
    <definedName name="ffrn">[2]ปร4!#REF!</definedName>
    <definedName name="ffroad" localSheetId="11">'[1]หา FACTORF'!$J$12</definedName>
    <definedName name="ffroad" localSheetId="7">'[2]หา FACTORF'!$J$12</definedName>
    <definedName name="ffroad">'[2]หา FACTORF'!$J$12</definedName>
    <definedName name="fill1" localSheetId="2">[4]ค่างานต้นทุน!$H$39</definedName>
    <definedName name="fill1" localSheetId="7">[4]ค่างานต้นทุน!$H$39</definedName>
    <definedName name="fill1">[5]ค่างานต้นทุน!$H$39</definedName>
    <definedName name="fill2" localSheetId="2">[4]ค่างานต้นทุน!$H$42</definedName>
    <definedName name="fill2" localSheetId="7">[4]ค่างานต้นทุน!$H$42</definedName>
    <definedName name="fill2">[5]ค่างานต้นทุน!$H$42</definedName>
    <definedName name="Footing.hang" localSheetId="11">'[1]ราคาต่อหน่วย2-9'!$Q$2358</definedName>
    <definedName name="Footing.hang" localSheetId="7">'[2]ราคาต่อหน่วย2-9'!$Q$2358</definedName>
    <definedName name="Footing.hang">'[2]ราคาต่อหน่วย2-9'!$Q$2358</definedName>
    <definedName name="Footing.over" localSheetId="11">'[1]ราคาต่อหน่วย2-9'!$Q$2375</definedName>
    <definedName name="Footing.over" localSheetId="7">'[2]ราคาต่อหน่วย2-9'!$Q$2375</definedName>
    <definedName name="Footing.over">'[2]ราคาต่อหน่วย2-9'!$Q$2375</definedName>
    <definedName name="froad">#REF!</definedName>
    <definedName name="gaurd1" localSheetId="2">[4]ค่างานต้นทุน!$H$402</definedName>
    <definedName name="gaurd1" localSheetId="7">[4]ค่างานต้นทุน!$H$402</definedName>
    <definedName name="gaurd1">[5]ค่างานต้นทุน!$H$402</definedName>
    <definedName name="gaurd2" localSheetId="2">[4]ค่างานต้นทุน!$H$415</definedName>
    <definedName name="gaurd2" localSheetId="7">[4]ค่างานต้นทุน!$H$415</definedName>
    <definedName name="gaurd2">[5]ค่างานต้นทุน!$H$415</definedName>
    <definedName name="gaurd3" localSheetId="2">[4]ค่างานต้นทุน!$H$429</definedName>
    <definedName name="gaurd3" localSheetId="7">[4]ค่างานต้นทุน!$H$429</definedName>
    <definedName name="gaurd3">[5]ค่างานต้นทุน!$H$429</definedName>
    <definedName name="gaurd4" localSheetId="2">[4]ค่างานต้นทุน!$H$443</definedName>
    <definedName name="gaurd4" localSheetId="7">[4]ค่างานต้นทุน!$H$443</definedName>
    <definedName name="gaurd4">[5]ค่างานต้นทุน!$H$443</definedName>
    <definedName name="gaurd5" localSheetId="2">[4]ค่างานต้นทุน!$H$457</definedName>
    <definedName name="gaurd5" localSheetId="7">[4]ค่างานต้นทุน!$H$457</definedName>
    <definedName name="gaurd5">[5]ค่างานต้นทุน!$H$457</definedName>
    <definedName name="GR" localSheetId="11">#REF!</definedName>
    <definedName name="GR" localSheetId="7">#REF!</definedName>
    <definedName name="GR">#REF!</definedName>
    <definedName name="HOUR" localSheetId="7">#REF!</definedName>
    <definedName name="HOUR">#REF!</definedName>
    <definedName name="hour1" localSheetId="7">#REF!</definedName>
    <definedName name="hour1">#REF!</definedName>
    <definedName name="ka" localSheetId="11">[8]unitcost!#REF!</definedName>
    <definedName name="ka" localSheetId="7">[8]unitcost!#REF!</definedName>
    <definedName name="ka">[8]unitcost!#REF!</definedName>
    <definedName name="kb" localSheetId="7">[8]unitcost!#REF!</definedName>
    <definedName name="kb">[8]unitcost!#REF!</definedName>
    <definedName name="kc" localSheetId="7">[8]unitcost!#REF!</definedName>
    <definedName name="kc">[8]unitcost!#REF!</definedName>
    <definedName name="kd.1" localSheetId="7">[8]unitcost!#REF!</definedName>
    <definedName name="kd.1">[8]unitcost!#REF!</definedName>
    <definedName name="kd.2" localSheetId="7">[8]unitcost!#REF!</definedName>
    <definedName name="kd.2">[8]unitcost!#REF!</definedName>
    <definedName name="kd.3" localSheetId="7">[8]unitcost!#REF!</definedName>
    <definedName name="kd.3">[8]unitcost!#REF!</definedName>
    <definedName name="kp.1" localSheetId="7">[8]unitcost!#REF!</definedName>
    <definedName name="kp.1">[8]unitcost!#REF!</definedName>
    <definedName name="kp.2" localSheetId="7">[8]unitcost!#REF!</definedName>
    <definedName name="kp.2">[8]unitcost!#REF!</definedName>
    <definedName name="kp.3" localSheetId="7">[8]unitcost!#REF!</definedName>
    <definedName name="kp.3">[8]unitcost!#REF!</definedName>
    <definedName name="kp.4" localSheetId="7">[8]unitcost!#REF!</definedName>
    <definedName name="kp.4">[8]unitcost!#REF!</definedName>
    <definedName name="kp.5" localSheetId="7">[8]unitcost!#REF!</definedName>
    <definedName name="kp.5">[8]unitcost!#REF!</definedName>
    <definedName name="ks" localSheetId="7">[8]unitcost!#REF!</definedName>
    <definedName name="ks">[8]unitcost!#REF!</definedName>
    <definedName name="kt" localSheetId="7">[8]unitcost!#REF!</definedName>
    <definedName name="kt">[8]unitcost!#REF!</definedName>
    <definedName name="kw" localSheetId="7">[8]unitcost!#REF!</definedName>
    <definedName name="kw">[8]unitcost!#REF!</definedName>
    <definedName name="l" localSheetId="11">#REF!</definedName>
    <definedName name="l" localSheetId="7">#REF!</definedName>
    <definedName name="l">#REF!</definedName>
    <definedName name="LB" localSheetId="7">#REF!</definedName>
    <definedName name="LB">#REF!</definedName>
    <definedName name="LBD" localSheetId="7">#REF!</definedName>
    <definedName name="LBD">#REF!</definedName>
    <definedName name="lean" localSheetId="2">[10]รายการประมาณราคาต่อหน่วย!#REF!</definedName>
    <definedName name="lean" localSheetId="7">[10]รายการประมาณราคาต่อหน่วย!#REF!</definedName>
    <definedName name="lean">[11]รายการประมาณราคาต่อหน่วย!#REF!</definedName>
    <definedName name="LR" localSheetId="11">#REF!</definedName>
    <definedName name="LR" localSheetId="7">#REF!</definedName>
    <definedName name="LR">#REF!</definedName>
    <definedName name="LUB" localSheetId="7">#REF!</definedName>
    <definedName name="LUB">#REF!</definedName>
    <definedName name="ML" localSheetId="7">#REF!</definedName>
    <definedName name="ML">#REF!</definedName>
    <definedName name="Month" localSheetId="0">'[9]ปร.5 ท'!$S$2:$S$14</definedName>
    <definedName name="Month">'ปร.5 ท'!$U$2:$U$14</definedName>
    <definedName name="n" localSheetId="11">[12]ข้อมูลแก้!$H$72</definedName>
    <definedName name="n" localSheetId="7">[13]ข้อมูลแก้!$H$72</definedName>
    <definedName name="n">[13]ข้อมูลแก้!$H$72</definedName>
    <definedName name="np" localSheetId="11">[8]unitcost!#REF!</definedName>
    <definedName name="np" localSheetId="7">[8]unitcost!#REF!</definedName>
    <definedName name="np">[8]unitcost!#REF!</definedName>
    <definedName name="oil" localSheetId="2">[14]Oil!$B$5:$G$1006</definedName>
    <definedName name="oil" localSheetId="7">[14]Oil!$B$5:$G$1006</definedName>
    <definedName name="oil">[14]Oil!$B$5:$G$1006</definedName>
    <definedName name="P" localSheetId="11">#REF!</definedName>
    <definedName name="P" localSheetId="7">#REF!</definedName>
    <definedName name="P">#REF!</definedName>
    <definedName name="pc" localSheetId="7">#REF!</definedName>
    <definedName name="pc">#REF!</definedName>
    <definedName name="pipe100" localSheetId="2">[4]ค่างานต้นทุน!$H$159</definedName>
    <definedName name="pipe100" localSheetId="11">[5]ค่างานต้นทุน!$H$159</definedName>
    <definedName name="pipe100" localSheetId="7">[4]ค่างานต้นทุน!$H$159</definedName>
    <definedName name="pipe100">[5]ค่างานต้นทุน!$H$159</definedName>
    <definedName name="pipe120" localSheetId="2">[4]ค่างานต้นทุน!$H$167</definedName>
    <definedName name="pipe120" localSheetId="11">[5]ค่างานต้นทุน!$H$167</definedName>
    <definedName name="pipe120" localSheetId="7">[4]ค่างานต้นทุน!$H$167</definedName>
    <definedName name="pipe120">[5]ค่างานต้นทุน!$H$167</definedName>
    <definedName name="pipe150" localSheetId="11">#REF!</definedName>
    <definedName name="pipe150" localSheetId="7">#REF!</definedName>
    <definedName name="pipe150">#REF!</definedName>
    <definedName name="pipe40" localSheetId="7">#REF!</definedName>
    <definedName name="pipe40">#REF!</definedName>
    <definedName name="pipe40.1" localSheetId="2">[4]ค่างานต้นทุน!$H$134</definedName>
    <definedName name="pipe40.1" localSheetId="7">[4]ค่างานต้นทุน!$H$134</definedName>
    <definedName name="pipe40.1">[5]ค่างานต้นทุน!$H$134</definedName>
    <definedName name="pipe60" localSheetId="2">[4]ค่างานต้นทุน!$H$143</definedName>
    <definedName name="pipe60" localSheetId="11">[5]ค่างานต้นทุน!$H$143</definedName>
    <definedName name="pipe60" localSheetId="7">[4]ค่างานต้นทุน!$H$143</definedName>
    <definedName name="pipe60">[5]ค่างานต้นทุน!$H$143</definedName>
    <definedName name="pipe80" localSheetId="2">[4]ค่างานต้นทุน!$H$151</definedName>
    <definedName name="pipe80" localSheetId="11">[5]ค่างานต้นทุน!$H$151</definedName>
    <definedName name="pipe80" localSheetId="7">[4]ค่างานต้นทุน!$H$151</definedName>
    <definedName name="pipe80">[5]ค่างานต้นทุน!$H$151</definedName>
    <definedName name="pole" localSheetId="11">'[1]ราคาต่อหน่วย2-9'!$Q$2335</definedName>
    <definedName name="pole" localSheetId="7">'[2]ราคาต่อหน่วย2-9'!$Q$2335</definedName>
    <definedName name="pole">'[2]ราคาต่อหน่วย2-9'!$Q$2335</definedName>
    <definedName name="prime" localSheetId="2">[4]ค่างานต้นทุน!$H$89</definedName>
    <definedName name="prime" localSheetId="7">[4]ค่างานต้นทุน!$H$89</definedName>
    <definedName name="prime">[5]ค่างานต้นทุน!$H$89</definedName>
    <definedName name="_xlnm.Print_Area" localSheetId="2">Soil!$A$6:$AE$204</definedName>
    <definedName name="_xlnm.Print_Area" localSheetId="9">ข้อมูลแหล่งราคาวัสดุ!$A$1:$K$105</definedName>
    <definedName name="_xlnm.Print_Area" localSheetId="12">ค่าดำเนินการ!$A$1:$H$96</definedName>
    <definedName name="_xlnm.Print_Area" localSheetId="11">งานป้ายจราจรระหว่างการก่อสร!$A$12:$L$39</definedName>
    <definedName name="_xlnm.Print_Area" localSheetId="7">'ทางเชื่อม (AC)'!$A$4:$M$26</definedName>
    <definedName name="_xlnm.Print_Area" localSheetId="1">ปก!$A$1:$I$29</definedName>
    <definedName name="_xlnm.Print_Area" localSheetId="4">ปร.4_1!$A$1:$Q$177</definedName>
    <definedName name="_xlnm.Print_Area" localSheetId="6">'ปร.4_1 ท'!$A$1:$O$35</definedName>
    <definedName name="_xlnm.Print_Area" localSheetId="5">ปร.4_2!$A$1:$Q$96</definedName>
    <definedName name="_xlnm.Print_Area" localSheetId="3">'ปร.5 ท'!$A$1:$K$46</definedName>
    <definedName name="_xlnm.Print_Area" localSheetId="8">เปรียบเทียบราคาวัสดุ!$A$1:$J$334</definedName>
    <definedName name="_xlnm.Print_Area" localSheetId="10">ราคาต้นทุนงานทาง!$A$1:$N$1487</definedName>
    <definedName name="_xlnm.Print_Titles" localSheetId="2">Soil!$6:$9</definedName>
    <definedName name="_xlnm.Print_Titles" localSheetId="9">ข้อมูลแหล่งราคาวัสดุ!$1:$10</definedName>
    <definedName name="_xlnm.Print_Titles" localSheetId="12">ค่าดำเนินการ!$1:$6</definedName>
    <definedName name="_xlnm.Print_Titles" localSheetId="7">'ทางเชื่อม (AC)'!$4:$7</definedName>
    <definedName name="_xlnm.Print_Titles" localSheetId="13">บรรทุกสิบล้อ!$1:$8</definedName>
    <definedName name="_xlnm.Print_Titles" localSheetId="14">'บรรทุกสิบล้อ+ลากพ่วง'!$1:$8</definedName>
    <definedName name="_xlnm.Print_Titles" localSheetId="4">ปร.4_1!$1:$9</definedName>
    <definedName name="_xlnm.Print_Titles" localSheetId="5">ปร.4_2!$1:$9</definedName>
    <definedName name="_xlnm.Print_Titles" localSheetId="8">เปรียบเทียบราคาวัสดุ!$1:$1</definedName>
    <definedName name="_xlnm.Print_Titles" localSheetId="10">ราคาต้นทุนงานทาง!$1:$5</definedName>
    <definedName name="Rate_Oil">เปรียบเทียบราคาวัสดุ!$Q$2:$Q$15</definedName>
    <definedName name="rb6mm">[3]แหล่งวัสดุ!$F$23</definedName>
    <definedName name="rb9mm">[3]แหล่งวัสดุ!$F$24</definedName>
    <definedName name="RC_" localSheetId="7">#REF!</definedName>
    <definedName name="RC_">#REF!</definedName>
    <definedName name="rc_1" localSheetId="7">#REF!</definedName>
    <definedName name="rc_1">#REF!</definedName>
    <definedName name="rt" localSheetId="11">'[15]หา FACTOR F'!$K$48</definedName>
    <definedName name="rt" localSheetId="7">'[15]หา FACTOR F'!$K$48</definedName>
    <definedName name="rt">'[15]หา FACTOR F'!$K$48</definedName>
    <definedName name="s1a" localSheetId="11">[8]unitcost!#REF!</definedName>
    <definedName name="s1a" localSheetId="7">[8]unitcost!#REF!</definedName>
    <definedName name="s1a">[8]unitcost!#REF!</definedName>
    <definedName name="s1d" localSheetId="11">[8]unitcost!#REF!</definedName>
    <definedName name="s1d" localSheetId="7">[8]unitcost!#REF!</definedName>
    <definedName name="s1d">[8]unitcost!#REF!</definedName>
    <definedName name="s1l" localSheetId="7">[8]unitcost!#REF!</definedName>
    <definedName name="s1l">[8]unitcost!#REF!</definedName>
    <definedName name="s2a" localSheetId="7">[8]unitcost!#REF!</definedName>
    <definedName name="s2a">[8]unitcost!#REF!</definedName>
    <definedName name="s2d" localSheetId="7">[8]unitcost!#REF!</definedName>
    <definedName name="s2d">[8]unitcost!#REF!</definedName>
    <definedName name="s2l" localSheetId="7">[8]unitcost!#REF!</definedName>
    <definedName name="s2l">[8]unitcost!#REF!</definedName>
    <definedName name="s3a" localSheetId="7">[8]unitcost!#REF!</definedName>
    <definedName name="s3a">[8]unitcost!#REF!</definedName>
    <definedName name="s3d" localSheetId="7">[8]unitcost!#REF!</definedName>
    <definedName name="s3d">[8]unitcost!#REF!</definedName>
    <definedName name="s3l" localSheetId="7">[8]unitcost!#REF!</definedName>
    <definedName name="s3l">[8]unitcost!#REF!</definedName>
    <definedName name="s4a" localSheetId="7">[8]unitcost!#REF!</definedName>
    <definedName name="s4a">[8]unitcost!#REF!</definedName>
    <definedName name="s4d" localSheetId="7">[8]unitcost!#REF!</definedName>
    <definedName name="s4d">[8]unitcost!#REF!</definedName>
    <definedName name="s4l" localSheetId="7">[8]unitcost!#REF!</definedName>
    <definedName name="s4l">[8]unitcost!#REF!</definedName>
    <definedName name="s5a" localSheetId="7">[8]unitcost!#REF!</definedName>
    <definedName name="s5a">[8]unitcost!#REF!</definedName>
    <definedName name="s5d" localSheetId="7">[8]unitcost!#REF!</definedName>
    <definedName name="s5d">[8]unitcost!#REF!</definedName>
    <definedName name="s5l" localSheetId="7">[8]unitcost!#REF!</definedName>
    <definedName name="s5l">[8]unitcost!#REF!</definedName>
    <definedName name="s6a" localSheetId="7">[8]unitcost!#REF!</definedName>
    <definedName name="s6a">[8]unitcost!#REF!</definedName>
    <definedName name="s6d" localSheetId="7">[8]unitcost!#REF!</definedName>
    <definedName name="s6d">[8]unitcost!#REF!</definedName>
    <definedName name="s6l" localSheetId="7">[8]unitcost!#REF!</definedName>
    <definedName name="s6l">[8]unitcost!#REF!</definedName>
    <definedName name="s7a" localSheetId="7">[8]unitcost!#REF!</definedName>
    <definedName name="s7a">[8]unitcost!#REF!</definedName>
    <definedName name="s7d" localSheetId="7">[8]unitcost!#REF!</definedName>
    <definedName name="s7d">[8]unitcost!#REF!</definedName>
    <definedName name="s7l" localSheetId="7">[8]unitcost!#REF!</definedName>
    <definedName name="s7l">[8]unitcost!#REF!</definedName>
    <definedName name="SB" localSheetId="11">#REF!</definedName>
    <definedName name="SB" localSheetId="7">#REF!</definedName>
    <definedName name="SB">#REF!</definedName>
    <definedName name="SD30DB12">'[7]ต้นทุนcon,steel&amp;แบบ'!$J$224</definedName>
    <definedName name="SD30DB16">'[7]ต้นทุนcon,steel&amp;แบบ'!$J$232</definedName>
    <definedName name="SD30DB25">'[7]ต้นทุนcon,steel&amp;แบบ'!$J$248</definedName>
    <definedName name="select" localSheetId="2">[4]ค่างานต้นทุน!$H$50</definedName>
    <definedName name="select" localSheetId="7">[4]ค่างานต้นทุน!$H$50</definedName>
    <definedName name="select">[5]ค่างานต้นทุน!$H$50</definedName>
    <definedName name="Sign" localSheetId="11">'[1]ราคาต่อหน่วย2-9'!$Q$2252</definedName>
    <definedName name="Sign" localSheetId="7">'[2]ราคาต่อหน่วย2-9'!$Q$2252</definedName>
    <definedName name="Sign">'[2]ราคาต่อหน่วย2-9'!$Q$2252</definedName>
    <definedName name="signF" localSheetId="11">'[1]ราคาต่อหน่วย2-9'!$Q$2271</definedName>
    <definedName name="signF" localSheetId="7">'[2]ราคาต่อหน่วย2-9'!$Q$2271</definedName>
    <definedName name="signF">'[2]ราคาต่อหน่วย2-9'!$Q$2271</definedName>
    <definedName name="signF.over" localSheetId="11">'[1]ราคาต่อหน่วย2-9'!$Q$2289</definedName>
    <definedName name="signF.over" localSheetId="7">'[2]ราคาต่อหน่วย2-9'!$Q$2289</definedName>
    <definedName name="signF.over">'[2]ราคาต่อหน่วย2-9'!$Q$2289</definedName>
    <definedName name="SP" localSheetId="7">#REF!</definedName>
    <definedName name="SP">#REF!</definedName>
    <definedName name="steel">#REF!</definedName>
    <definedName name="TC" localSheetId="7">#REF!</definedName>
    <definedName name="TC">#REF!</definedName>
    <definedName name="timber" localSheetId="2">[4]ค่างานต้นทุน!$H$474</definedName>
    <definedName name="timber" localSheetId="7">[4]ค่างานต้นทุน!$H$474</definedName>
    <definedName name="timber">[5]ค่างานต้นทุน!$H$474</definedName>
    <definedName name="TIME" localSheetId="11">#REF!</definedName>
    <definedName name="TIME" localSheetId="7">#REF!</definedName>
    <definedName name="TIME">#REF!</definedName>
    <definedName name="time1" localSheetId="7">#REF!</definedName>
    <definedName name="time1">#REF!</definedName>
    <definedName name="TR" localSheetId="7">#REF!</definedName>
    <definedName name="TR">#REF!</definedName>
    <definedName name="WT">#REF!</definedName>
    <definedName name="X">#REF!</definedName>
    <definedName name="Xs">#REF!</definedName>
    <definedName name="xx" localSheetId="11">[12]ข้อมูลแก้!$H$74</definedName>
    <definedName name="xx" localSheetId="7">[13]ข้อมูลแก้!$H$74</definedName>
    <definedName name="xx">[13]ข้อมูลแก้!$H$74</definedName>
    <definedName name="Y" localSheetId="11">#REF!</definedName>
    <definedName name="Y" localSheetId="7">#REF!</definedName>
    <definedName name="Y">#REF!</definedName>
    <definedName name="Year" localSheetId="0">'[9]ปร.5 ท'!$T$2:$T$12</definedName>
    <definedName name="Year">'ปร.5 ท'!$V$2:$V$12</definedName>
    <definedName name="Yp" localSheetId="7">#REF!</definedName>
    <definedName name="Yp">#REF!</definedName>
    <definedName name="Ys" localSheetId="7">#REF!</definedName>
    <definedName name="Ys">#REF!</definedName>
    <definedName name="กม." localSheetId="2">[4]ค่างานต้นทุน!$H$490</definedName>
    <definedName name="กม." localSheetId="7">[4]ค่างานต้นทุน!$H$490</definedName>
    <definedName name="กม.">[5]ค่างานต้นทุน!$H$490</definedName>
    <definedName name="กรุย" localSheetId="2">[4]ค่างานต้นทุน!$H$5</definedName>
    <definedName name="กรุย" localSheetId="7">[4]ค่างานต้นทุน!$H$5</definedName>
    <definedName name="กรุย">[5]ค่างานต้นทุน!$H$5</definedName>
    <definedName name="กรุยทาง">#REF!</definedName>
    <definedName name="ขนาดท่อกลม" localSheetId="0">[9]ราคาต้นทุนงานทาง!$X$605:$X$610</definedName>
    <definedName name="ขนาดท่อกลม">ราคาต้นทุนงานทาง!$X$525:$X$530</definedName>
    <definedName name="ข้อมูลปูน" localSheetId="11">[12]ข้อมูลแก้!$H$73</definedName>
    <definedName name="ข้อมูลปูน" localSheetId="7">[13]ข้อมูลแก้!$H$73</definedName>
    <definedName name="ข้อมูลปูน">[13]ข้อมูลแก้!$H$73</definedName>
    <definedName name="ค1" localSheetId="11">'[1]ราคาต่อหน่วย2-9'!$Q$928</definedName>
    <definedName name="ค1" localSheetId="7">'[2]ราคาต่อหน่วย2-9'!$Q$928</definedName>
    <definedName name="ค1">'[2]ราคาต่อหน่วย2-9'!$Q$928</definedName>
    <definedName name="ค2" localSheetId="2">[10]รายการประมาณราคาต่อหน่วย!#REF!</definedName>
    <definedName name="ค2" localSheetId="11">'[1]ราคาต่อหน่วย2-9'!$Q$904</definedName>
    <definedName name="ค2" localSheetId="7">[10]รายการประมาณราคาต่อหน่วย!#REF!</definedName>
    <definedName name="ค2">[11]รายการประมาณราคาต่อหน่วย!#REF!</definedName>
    <definedName name="ค222" localSheetId="11">[16]รายการประมาณราคาต่อหน่วย!#REF!</definedName>
    <definedName name="ค222" localSheetId="7">[16]รายการประมาณราคาต่อหน่วย!#REF!</definedName>
    <definedName name="ค222">[16]รายการประมาณราคาต่อหน่วย!#REF!</definedName>
    <definedName name="ค2สะพาน">'[7]ต้นทุนcon,steel&amp;แบบ'!$J$141</definedName>
    <definedName name="ค3" localSheetId="2">[10]รายการประมาณราคาต่อหน่วย!#REF!</definedName>
    <definedName name="ค3" localSheetId="11">'[1]ราคาต่อหน่วย2-9'!$Q$892</definedName>
    <definedName name="ค3" localSheetId="7">[10]รายการประมาณราคาต่อหน่วย!#REF!</definedName>
    <definedName name="ค3">[11]รายการประมาณราคาต่อหน่วย!#REF!</definedName>
    <definedName name="ค3_1" localSheetId="11">'[1]ราคาต่อหน่วย2-9'!$Q$880</definedName>
    <definedName name="ค3_1" localSheetId="7">'[2]ราคาต่อหน่วย2-9'!$Q$880</definedName>
    <definedName name="ค3_1">'[2]ราคาต่อหน่วย2-9'!$Q$880</definedName>
    <definedName name="ค4" localSheetId="11">'[1]ราคาต่อหน่วย2-9'!$Q$869</definedName>
    <definedName name="ค4" localSheetId="7">'[2]ราคาต่อหน่วย2-9'!$Q$869</definedName>
    <definedName name="ค4">'[2]ราคาต่อหน่วย2-9'!$Q$869</definedName>
    <definedName name="ค4สะพาน">'[7]ต้นทุนcon,steel&amp;แบบ'!$J$157</definedName>
    <definedName name="ความหนา_AC" localSheetId="0">[9]ราคาต้นทุนงานทาง!$C$413:$C$422</definedName>
    <definedName name="ความหนา_AC">ราคาต้นทุนงานทาง!$C$334:$C$343</definedName>
    <definedName name="ความหนาผิวทางคอนกรีต" localSheetId="0">[9]ราคาต้นทุนงานทาง!$P$443:$P$448</definedName>
    <definedName name="ความหนาผิวทางคอนกรีต">ราคาต้นทุนงานทาง!$P$365:$P$370</definedName>
    <definedName name="คหยาบ" localSheetId="11">'[1]ราคาต่อหน่วย2-9'!$Q$940</definedName>
    <definedName name="คหยาบ" localSheetId="7">'[2]ราคาต่อหน่วย2-9'!$Q$940</definedName>
    <definedName name="คหยาบ">'[2]ราคาต่อหน่วย2-9'!$Q$940</definedName>
    <definedName name="คอนกรีต">#REF!</definedName>
    <definedName name="คอนกรีตหยาบ">#REF!</definedName>
    <definedName name="ค่าแรงเหล็กเสริม">[7]ข้อมูล!$AM$19</definedName>
    <definedName name="จง" localSheetId="11">[12]ข้อมูลแก้!$H$92</definedName>
    <definedName name="จง" localSheetId="7">[13]ข้อมูลแก้!$H$92</definedName>
    <definedName name="จง">[13]ข้อมูลแก้!$H$92</definedName>
    <definedName name="ชื่อสายทาง">'ปร.5 ท'!$Z$2:$Z$50</definedName>
    <definedName name="ต1_60" localSheetId="2">[4]ค่างานต้นทุน!$H$301</definedName>
    <definedName name="ต1_60" localSheetId="7">[4]ค่างานต้นทุน!$H$301</definedName>
    <definedName name="ต1_60">[5]ค่างานต้นทุน!$H$301</definedName>
    <definedName name="ต1_ต46" localSheetId="11">#REF!</definedName>
    <definedName name="ต1_ต46" localSheetId="7">#REF!</definedName>
    <definedName name="ต1_ต46">#REF!</definedName>
    <definedName name="ต1ต46" localSheetId="11">[8]unitcost!#REF!</definedName>
    <definedName name="ต1ต46" localSheetId="7">[8]unitcost!#REF!</definedName>
    <definedName name="ต1ต46">[8]unitcost!#REF!</definedName>
    <definedName name="ต1ต76" localSheetId="2">[4]ค่างานต้นทุน!$H$356</definedName>
    <definedName name="ต1ต76" localSheetId="7">[4]ค่างานต้นทุน!$H$356</definedName>
    <definedName name="ต1ต76">[5]ค่างานต้นทุน!$H$356</definedName>
    <definedName name="ต47" localSheetId="11">[8]unitcost!#REF!</definedName>
    <definedName name="ต47" localSheetId="7">[8]unitcost!#REF!</definedName>
    <definedName name="ต47">[8]unitcost!#REF!</definedName>
    <definedName name="ต47_ต48" localSheetId="11">#REF!</definedName>
    <definedName name="ต47_ต48" localSheetId="7">#REF!</definedName>
    <definedName name="ต47_ต48">#REF!</definedName>
    <definedName name="ต49" localSheetId="7">#REF!</definedName>
    <definedName name="ต49">#REF!</definedName>
    <definedName name="ต50" localSheetId="7">#REF!</definedName>
    <definedName name="ต50">#REF!</definedName>
    <definedName name="ต51">#REF!</definedName>
    <definedName name="ต52">#REF!</definedName>
    <definedName name="ต61" localSheetId="2">[4]ค่างานต้นทุน!$H$306</definedName>
    <definedName name="ต61" localSheetId="7">[4]ค่างานต้นทุน!$H$306</definedName>
    <definedName name="ต61">[5]ค่างานต้นทุน!$H$306</definedName>
    <definedName name="ต63" localSheetId="2">[4]ค่างานต้นทุน!$H$311</definedName>
    <definedName name="ต63" localSheetId="7">[4]ค่างานต้นทุน!$H$311</definedName>
    <definedName name="ต63">[5]ค่างานต้นทุน!$H$311</definedName>
    <definedName name="ต64" localSheetId="2">[4]ค่างานต้นทุน!$H$316</definedName>
    <definedName name="ต64" localSheetId="7">[4]ค่างานต้นทุน!$H$316</definedName>
    <definedName name="ต64">[5]ค่างานต้นทุน!$H$316</definedName>
    <definedName name="ต65" localSheetId="2">[4]ค่างานต้นทุน!$H$321</definedName>
    <definedName name="ต65" localSheetId="7">[4]ค่างานต้นทุน!$H$321</definedName>
    <definedName name="ต65">[5]ค่างานต้นทุน!$H$321</definedName>
    <definedName name="ต69" localSheetId="2">[4]ค่างานต้นทุน!$H$326</definedName>
    <definedName name="ต69" localSheetId="7">[4]ค่างานต้นทุน!$H$326</definedName>
    <definedName name="ต69">[5]ค่างานต้นทุน!$H$326</definedName>
    <definedName name="ต71" localSheetId="2">[4]ค่างานต้นทุน!$H$331</definedName>
    <definedName name="ต71" localSheetId="7">[4]ค่างานต้นทุน!$H$331</definedName>
    <definedName name="ต71">[5]ค่างานต้นทุน!$H$331</definedName>
    <definedName name="ต74" localSheetId="2">[4]ค่างานต้นทุน!$H$336</definedName>
    <definedName name="ต74" localSheetId="7">[4]ค่างานต้นทุน!$H$336</definedName>
    <definedName name="ต74">[5]ค่างานต้นทุน!$H$336</definedName>
    <definedName name="ต76" localSheetId="2">[4]ค่างานต้นทุน!$H$341</definedName>
    <definedName name="ต76" localSheetId="7">[4]ค่างานต้นทุน!$H$341</definedName>
    <definedName name="ต76">[5]ค่างานต้นทุน!$H$341</definedName>
    <definedName name="ต77" localSheetId="2">[4]ค่างานต้นทุน!$H$346</definedName>
    <definedName name="ต77" localSheetId="7">[4]ค่างานต้นทุน!$H$346</definedName>
    <definedName name="ต77">[5]ค่างานต้นทุน!$H$346</definedName>
    <definedName name="ต78" localSheetId="2">[4]ค่างานต้นทุน!$H$351</definedName>
    <definedName name="ต78" localSheetId="7">[4]ค่างานต้นทุน!$H$351</definedName>
    <definedName name="ต78">[5]ค่างานต้นทุน!$H$351</definedName>
    <definedName name="ตารางขนส่ง" localSheetId="11">[17]ค่าขนส่ง!$C$121:$O$320</definedName>
    <definedName name="ตารางขนส่ง" localSheetId="7">[18]ค่าขนส่ง!$C$121:$O$320</definedName>
    <definedName name="ตารางขนส่ง">[18]ค่าขนส่ง!$C$121:$O$320</definedName>
    <definedName name="ตารางที่_3" localSheetId="0">[9]ราคาต้นทุนงานทาง!$C$413:$F$421</definedName>
    <definedName name="ตารางที่_3">ราคาต้นทุนงานทาง!$C$334:$F$342</definedName>
    <definedName name="ตารางที่_4">[19]ราคาต้นทุนงานทาง!$C$391:$F$399</definedName>
    <definedName name="ถางป่า" localSheetId="0">[9]ราคาต้นทุนงานทาง!$P$9:$P$11</definedName>
    <definedName name="ถางป่า">ราคาต้นทุนงานทาง!$P$9:$P$11</definedName>
    <definedName name="ถางป่าขุดตอ" localSheetId="11">[1]OHCทาง!$D$8:$J$10</definedName>
    <definedName name="ถางป่าขุดตอ" localSheetId="7">[2]OHCทาง!$D$8:$J$10</definedName>
    <definedName name="ถางป่าขุดตอ">[2]OHCทาง!$D$8:$J$10</definedName>
    <definedName name="ทรายถม">#REF!</definedName>
    <definedName name="น_1">#REF!</definedName>
    <definedName name="น_2">#REF!</definedName>
    <definedName name="น_3">#REF!</definedName>
    <definedName name="น_4">#REF!</definedName>
    <definedName name="น_5">#REF!</definedName>
    <definedName name="น1" localSheetId="2">[4]ค่างานต้นทุน!$H$361</definedName>
    <definedName name="น1" localSheetId="11">[5]ค่างานต้นทุน!$H$361</definedName>
    <definedName name="น1" localSheetId="7">[4]ค่างานต้นทุน!$H$361</definedName>
    <definedName name="น1">[5]ค่างานต้นทุน!$H$361</definedName>
    <definedName name="น1น2_1" localSheetId="2">[4]ค่างานต้นทุน!$H$366</definedName>
    <definedName name="น1น2_1" localSheetId="7">[4]ค่างานต้นทุน!$H$366</definedName>
    <definedName name="น1น2_1">[5]ค่างานต้นทุน!$H$366</definedName>
    <definedName name="น1น2_2" localSheetId="2">[4]ค่างานต้นทุน!$H$371</definedName>
    <definedName name="น1น2_2" localSheetId="7">[4]ค่างานต้นทุน!$H$371</definedName>
    <definedName name="น1น2_2">[5]ค่างานต้นทุน!$H$371</definedName>
    <definedName name="น1น2_3" localSheetId="2">[4]ค่างานต้นทุน!$H$376</definedName>
    <definedName name="น1น2_3" localSheetId="7">[4]ค่างานต้นทุน!$H$376</definedName>
    <definedName name="น1น2_3">[5]ค่างานต้นทุน!$H$376</definedName>
    <definedName name="น2" localSheetId="11">#REF!</definedName>
    <definedName name="น2" localSheetId="7">#REF!</definedName>
    <definedName name="น2">#REF!</definedName>
    <definedName name="น3" localSheetId="2">[4]ค่างานต้นทุน!$H$381</definedName>
    <definedName name="น3" localSheetId="11">[5]ค่างานต้นทุน!$H$381</definedName>
    <definedName name="น3" localSheetId="7">[4]ค่างานต้นทุน!$H$381</definedName>
    <definedName name="น3">[5]ค่างานต้นทุน!$H$381</definedName>
    <definedName name="น4" localSheetId="2">[4]ค่างานต้นทุน!$H$386</definedName>
    <definedName name="น4" localSheetId="11">[5]ค่างานต้นทุน!$H$386</definedName>
    <definedName name="น4" localSheetId="7">[4]ค่างานต้นทุน!$H$386</definedName>
    <definedName name="น4">[5]ค่างานต้นทุน!$H$386</definedName>
    <definedName name="น5" localSheetId="2">[4]ค่างานต้นทุน!$H$391</definedName>
    <definedName name="น5" localSheetId="11">[5]ค่างานต้นทุน!$H$391</definedName>
    <definedName name="น5" localSheetId="7">[4]ค่างานต้นทุน!$H$391</definedName>
    <definedName name="น5">[5]ค่างานต้นทุน!$H$391</definedName>
    <definedName name="นั่งร้าน1" localSheetId="11">'[1]ราคาต่อหน่วย2-9'!$Q$1011</definedName>
    <definedName name="นั่งร้าน1" localSheetId="7">'[2]ราคาต่อหน่วย2-9'!$Q$1011</definedName>
    <definedName name="นั่งร้าน1">'[2]ราคาต่อหน่วย2-9'!$Q$1011</definedName>
    <definedName name="นั่งร้าน2" localSheetId="11">'[1]ราคาต่อหน่วย2-9'!$Q$1025</definedName>
    <definedName name="นั่งร้าน2" localSheetId="7">'[2]ราคาต่อหน่วย2-9'!$Q$1025</definedName>
    <definedName name="นั่งร้าน2">'[2]ราคาต่อหน่วย2-9'!$Q$1025</definedName>
    <definedName name="บ_ต" localSheetId="2">[4]ค่างานต้นทุน!$H$462</definedName>
    <definedName name="บ_ต" localSheetId="11">[5]ค่างานต้นทุน!$H$462</definedName>
    <definedName name="บ_ต" localSheetId="7">[4]ค่างานต้นทุน!$H$462</definedName>
    <definedName name="บ_ต">[5]ค่างานต้นทุน!$H$462</definedName>
    <definedName name="บ1" localSheetId="2">[4]ค่างานต้นทุน!$H$286</definedName>
    <definedName name="บ1" localSheetId="11">[5]ค่างานต้นทุน!$H$286</definedName>
    <definedName name="บ1" localSheetId="7">[4]ค่างานต้นทุน!$H$286</definedName>
    <definedName name="บ1">[5]ค่างานต้นทุน!$H$286</definedName>
    <definedName name="บ2" localSheetId="2">[4]ค่างานต้นทุน!$H$291</definedName>
    <definedName name="บ2" localSheetId="11">[5]ค่างานต้นทุน!$H$291</definedName>
    <definedName name="บ2" localSheetId="7">[4]ค่างานต้นทุน!$H$291</definedName>
    <definedName name="บ2">[5]ค่างานต้นทุน!$H$291</definedName>
    <definedName name="บ3_36" localSheetId="2">[4]ค่างานต้นทุน!$H$296</definedName>
    <definedName name="บ3_36" localSheetId="7">[4]ค่างานต้นทุน!$H$296</definedName>
    <definedName name="บ3_36">[5]ค่างานต้นทุน!$H$296</definedName>
    <definedName name="บ3_บ36" localSheetId="11">#REF!</definedName>
    <definedName name="บ3_บ36" localSheetId="7">#REF!</definedName>
    <definedName name="บ3_บ36">#REF!</definedName>
    <definedName name="แบบ1" localSheetId="11">'[1]ราคาต่อหน่วย2-9'!$Q$966</definedName>
    <definedName name="แบบ1" localSheetId="7">'[2]ราคาต่อหน่วย2-9'!$Q$966</definedName>
    <definedName name="แบบ1">'[2]ราคาต่อหน่วย2-9'!$Q$966</definedName>
    <definedName name="แบบ2" localSheetId="11">'[1]ราคาต่อหน่วย2-9'!$Q$980</definedName>
    <definedName name="แบบ2" localSheetId="7">'[2]ราคาต่อหน่วย2-9'!$Q$980</definedName>
    <definedName name="แบบ2">'[2]ราคาต่อหน่วย2-9'!$Q$980</definedName>
    <definedName name="แบบ3" localSheetId="11">'[1]ราคาต่อหน่วย2-9'!$Q$997</definedName>
    <definedName name="แบบ3" localSheetId="7">'[2]ราคาต่อหน่วย2-9'!$Q$997</definedName>
    <definedName name="แบบ3">'[2]ราคาต่อหน่วย2-9'!$Q$997</definedName>
    <definedName name="ป" localSheetId="7">#REF!</definedName>
    <definedName name="ป">#REF!</definedName>
    <definedName name="ประเภทผิวจราจร" localSheetId="0">[9]ราคาต้นทุนงานทาง!$P$1:$P$5</definedName>
    <definedName name="ประเภทผิวจราจร">ราคาต้นทุนงานทาง!$P$1:$P$5</definedName>
    <definedName name="ปรับ" localSheetId="2">[4]ค่างานต้นทุน!$H$7</definedName>
    <definedName name="ปรับ" localSheetId="7">[4]ค่างานต้นทุน!$H$7</definedName>
    <definedName name="ปรับ">[5]ค่างานต้นทุน!$H$7</definedName>
    <definedName name="ปากท่อ_คสล1" localSheetId="0">[9]ราคาต้นทุนงานทาง!$O$705:$O$709</definedName>
    <definedName name="ปากท่อ_คสล1">ราคาต้นทุนงานทาง!$O$625:$O$629</definedName>
    <definedName name="ปากท่อ_คสล2" localSheetId="0">[9]ราคาต้นทุนงานทาง!$O$717:$O$721</definedName>
    <definedName name="ปากท่อ_คสล2">ราคาต้นทุนงานทาง!$O$637:$O$641</definedName>
    <definedName name="ปากท่อ_คสล3" localSheetId="0">[9]ราคาต้นทุนงานทาง!$O$729:$O$733</definedName>
    <definedName name="ปากท่อ_คสล3">ราคาต้นทุนงานทาง!$O$649:$O$653</definedName>
    <definedName name="ปากท่อ1_100" localSheetId="2">[4]ค่างานต้นทุน!$H$553</definedName>
    <definedName name="ปากท่อ1_100" localSheetId="7">[4]ค่างานต้นทุน!$H$553</definedName>
    <definedName name="ปากท่อ1_100">[5]ค่างานต้นทุน!$H$553</definedName>
    <definedName name="ปากท่อ1_120" localSheetId="2">[4]ค่างานต้นทุน!$H$574</definedName>
    <definedName name="ปากท่อ1_120" localSheetId="7">[4]ค่างานต้นทุน!$H$574</definedName>
    <definedName name="ปากท่อ1_120">[5]ค่างานต้นทุน!$H$574</definedName>
    <definedName name="ปากท่อ1_60" localSheetId="2">[4]ค่างานต้นทุน!$H$511</definedName>
    <definedName name="ปากท่อ1_60" localSheetId="7">[4]ค่างานต้นทุน!$H$511</definedName>
    <definedName name="ปากท่อ1_60">[5]ค่างานต้นทุน!$H$511</definedName>
    <definedName name="ปากท่อ1_80" localSheetId="2">[4]ค่างานต้นทุน!$H$532</definedName>
    <definedName name="ปากท่อ1_80" localSheetId="7">[4]ค่างานต้นทุน!$H$532</definedName>
    <definedName name="ปากท่อ1_80">[5]ค่างานต้นทุน!$H$532</definedName>
    <definedName name="ปากท่อ2_100" localSheetId="2">[4]ค่างานต้นทุน!$H$560</definedName>
    <definedName name="ปากท่อ2_100" localSheetId="7">[4]ค่างานต้นทุน!$H$560</definedName>
    <definedName name="ปากท่อ2_100">[5]ค่างานต้นทุน!$H$560</definedName>
    <definedName name="ปากท่อ2_120" localSheetId="2">[4]ค่างานต้นทุน!$H$581</definedName>
    <definedName name="ปากท่อ2_120" localSheetId="7">[4]ค่างานต้นทุน!$H$581</definedName>
    <definedName name="ปากท่อ2_120">[5]ค่างานต้นทุน!$H$581</definedName>
    <definedName name="ปากท่อ2_60" localSheetId="2">[4]ค่างานต้นทุน!$H$518</definedName>
    <definedName name="ปากท่อ2_60" localSheetId="7">[4]ค่างานต้นทุน!$H$518</definedName>
    <definedName name="ปากท่อ2_60">[5]ค่างานต้นทุน!$H$518</definedName>
    <definedName name="ปากท่อ2_80" localSheetId="2">[4]ค่างานต้นทุน!$H$539</definedName>
    <definedName name="ปากท่อ2_80" localSheetId="7">[4]ค่างานต้นทุน!$H$539</definedName>
    <definedName name="ปากท่อ2_80">[5]ค่างานต้นทุน!$H$539</definedName>
    <definedName name="ปากท่อ3_100" localSheetId="2">[4]ค่างานต้นทุน!$H$567</definedName>
    <definedName name="ปากท่อ3_100" localSheetId="7">[4]ค่างานต้นทุน!$H$567</definedName>
    <definedName name="ปากท่อ3_100">[5]ค่างานต้นทุน!$H$567</definedName>
    <definedName name="ปากท่อ3_120" localSheetId="2">[4]ค่างานต้นทุน!$H$588</definedName>
    <definedName name="ปากท่อ3_120" localSheetId="7">[4]ค่างานต้นทุน!$H$588</definedName>
    <definedName name="ปากท่อ3_120">[5]ค่างานต้นทุน!$H$588</definedName>
    <definedName name="ปากท่อ3_60" localSheetId="2">[4]ค่างานต้นทุน!$H$525</definedName>
    <definedName name="ปากท่อ3_60" localSheetId="7">[4]ค่างานต้นทุน!$H$525</definedName>
    <definedName name="ปากท่อ3_60">[5]ค่างานต้นทุน!$H$525</definedName>
    <definedName name="ปากท่อ3_80" localSheetId="2">[4]ค่างานต้นทุน!$H$546</definedName>
    <definedName name="ปากท่อ3_80" localSheetId="7">[4]ค่างานต้นทุน!$H$546</definedName>
    <definedName name="ปากท่อ3_80">[5]ค่างานต้นทุน!$H$546</definedName>
    <definedName name="ป้ายก" localSheetId="2">[4]ค่างานต้นทุน!$H$464</definedName>
    <definedName name="ป้ายก" localSheetId="7">[4]ค่างานต้นทุน!$H$464</definedName>
    <definedName name="ป้ายก">[5]ค่างานต้นทุน!$H$464</definedName>
    <definedName name="ปูนทราย" localSheetId="2">[10]รายการประมาณราคาต่อหน่วย!#REF!</definedName>
    <definedName name="ปูนทราย" localSheetId="11">[11]รายการประมาณราคาต่อหน่วย!#REF!</definedName>
    <definedName name="ปูนทราย" localSheetId="7">[10]รายการประมาณราคาต่อหน่วย!#REF!</definedName>
    <definedName name="ปูนทราย">[11]รายการประมาณราคาต่อหน่วย!#REF!</definedName>
    <definedName name="ปูนยาแนว">#REF!</definedName>
    <definedName name="พื้นทาง" localSheetId="2">[4]ค่างานต้นทุน!$H$69</definedName>
    <definedName name="พื้นทาง" localSheetId="7">[4]ค่างานต้นทุน!$H$69</definedName>
    <definedName name="พื้นทาง">[5]ค่างานต้นทุน!$H$69</definedName>
    <definedName name="ภูมิอากาศ">[20]ข้อมูลขนส่ง!$B$2</definedName>
    <definedName name="ไม้แบบ2">'[7]ต้นทุนcon,steel&amp;แบบ'!$J$328</definedName>
    <definedName name="รหัสสายทาง" localSheetId="0">'[9]ปร.5 ท'!$W$2:$W$48</definedName>
    <definedName name="รหัสสายทาง">'ปร.5 ท'!$Y$2:$Y$50</definedName>
    <definedName name="รองพื้นทาง" localSheetId="2">[4]ค่างานต้นทุน!$H$60</definedName>
    <definedName name="รองพื้นทาง" localSheetId="7">[4]ค่างานต้นทุน!$H$60</definedName>
    <definedName name="รองพื้นทาง">[5]ค่างานต้นทุน!$H$60</definedName>
    <definedName name="ระยะดินตัด">#REF!</definedName>
    <definedName name="ระยะดินถม">#REF!</definedName>
    <definedName name="ระยะทรายถม">#REF!</definedName>
    <definedName name="ระยะทรายหยาบ">#REF!</definedName>
    <definedName name="ระยะปูนต์">#REF!</definedName>
    <definedName name="ระยะลูกรัง">[20]ข้อมูลขนส่ง!$P$12</definedName>
    <definedName name="ระยะวัสดุคัดเลือก">#REF!</definedName>
    <definedName name="ระยะหิน12">[20]ข้อมูลขนส่ง!$X$8</definedName>
    <definedName name="ระยะหินคลุก">[20]ข้อมูลขนส่ง!$T$4</definedName>
    <definedName name="ระยะหินผสม">#REF!</definedName>
    <definedName name="ระยะเหล็กเส้น">#REF!</definedName>
    <definedName name="ระยะแอสฟัลท์">[20]ข้อมูลขนส่ง!$T$8</definedName>
    <definedName name="ราคาดินตัด">#REF!</definedName>
    <definedName name="ราคาดินถม">#REF!</definedName>
    <definedName name="ราคาทรายถม">#REF!</definedName>
    <definedName name="ราคาทรายหยาบ">#REF!</definedName>
    <definedName name="ราคาปูนต์">#REF!</definedName>
    <definedName name="ราคายางcrs" localSheetId="11">[8]แหล่งวัสดุ!#REF!</definedName>
    <definedName name="ราคายางcrs" localSheetId="7">[8]แหล่งวัสดุ!#REF!</definedName>
    <definedName name="ราคายางcrs">[8]แหล่งวัสดุ!#REF!</definedName>
    <definedName name="ราคายางcss" localSheetId="11">[8]แหล่งวัสดุ!#REF!</definedName>
    <definedName name="ราคายางcss" localSheetId="7">[8]แหล่งวัสดุ!#REF!</definedName>
    <definedName name="ราคายางcss">[8]แหล่งวัสดุ!#REF!</definedName>
    <definedName name="ราคาลูกรัง">[20]ข้อมูลขนส่ง!$R$12</definedName>
    <definedName name="ราคาวัสดุคัดเลือก">#REF!</definedName>
    <definedName name="ราคาหิน12">[20]ข้อมูลขนส่ง!$Z$8</definedName>
    <definedName name="ราคาหินคลุก">[20]ข้อมูลขนส่ง!$V$4</definedName>
    <definedName name="ราคาหินผสม">#REF!</definedName>
    <definedName name="ราคาเหล็กเส้น">#REF!</definedName>
    <definedName name="ราคาแอสฟัลท์">[20]ข้อมูลขนส่ง!$V$8</definedName>
    <definedName name="รางระบายน้ำตัวยู">ราคาต้นทุนงานทาง!$P$694:$P$702</definedName>
    <definedName name="ลบ.ม." localSheetId="11">#REF!</definedName>
    <definedName name="ลบ.ม." localSheetId="7">#REF!</definedName>
    <definedName name="ลบ.ม.">#REF!</definedName>
    <definedName name="ลวดผูกเหล็ก">[7]ข้อมูล!$L$132</definedName>
    <definedName name="ส1" localSheetId="11">#REF!</definedName>
    <definedName name="ส1" localSheetId="7">#REF!</definedName>
    <definedName name="ส1">#REF!</definedName>
    <definedName name="ส2" localSheetId="7">#REF!</definedName>
    <definedName name="ส2">#REF!</definedName>
    <definedName name="ส3" localSheetId="7">#REF!</definedName>
    <definedName name="ส3">#REF!</definedName>
    <definedName name="ส4">#REF!</definedName>
    <definedName name="สี" localSheetId="2">[4]ค่างานต้นทุน!#REF!</definedName>
    <definedName name="สี" localSheetId="7">[4]ค่างานต้นทุน!#REF!</definedName>
    <definedName name="สี">[5]ค่างานต้นทุน!#REF!</definedName>
    <definedName name="ห" localSheetId="7">[8]unitcost!#REF!</definedName>
    <definedName name="ห">[8]unitcost!#REF!</definedName>
    <definedName name="หญ้า" localSheetId="2">[4]ค่างานต้นทุน!$H$175</definedName>
    <definedName name="หญ้า" localSheetId="7">[4]ค่างานต้นทุน!$H$175</definedName>
    <definedName name="หญ้า">[5]ค่างานต้นทุน!$H$175</definedName>
    <definedName name="หลัก" localSheetId="2">[4]ค่างานต้นทุน!$H$482</definedName>
    <definedName name="หลัก" localSheetId="7">[4]ค่างานต้นทุน!$H$482</definedName>
    <definedName name="หลัก">[5]ค่างานต้นทุน!$H$482</definedName>
    <definedName name="เหล็ก12" localSheetId="11">[8]unitcost!#REF!</definedName>
    <definedName name="เหล็ก12" localSheetId="7">[8]unitcost!#REF!</definedName>
    <definedName name="เหล็ก12">[8]unitcost!#REF!</definedName>
    <definedName name="เหล็ก16" localSheetId="11">'[1]ราคาต่อหน่วย2-9'!$Q$1228</definedName>
    <definedName name="เหล็ก16" localSheetId="7">'[2]ราคาต่อหน่วย2-9'!$Q$1228</definedName>
    <definedName name="เหล็ก16">'[2]ราคาต่อหน่วย2-9'!$Q$1228</definedName>
    <definedName name="เหล็กกลม" localSheetId="11">'[1]ราคาต่อหน่วย2-9'!$Q$1239</definedName>
    <definedName name="เหล็กกลม" localSheetId="7">'[2]ราคาต่อหน่วย2-9'!$Q$1239</definedName>
    <definedName name="เหล็กกลม">'[2]ราคาต่อหน่วย2-9'!$Q$1239</definedName>
    <definedName name="เหล็กเสริม" localSheetId="11">[8]unitcost!#REF!</definedName>
    <definedName name="เหล็กเสริม" localSheetId="7">[8]unitcost!#REF!</definedName>
    <definedName name="เหล็กเสริม">[8]unitcost!#REF!</definedName>
  </definedNames>
  <calcPr calcId="124519"/>
</workbook>
</file>

<file path=xl/calcChain.xml><?xml version="1.0" encoding="utf-8"?>
<calcChain xmlns="http://schemas.openxmlformats.org/spreadsheetml/2006/main">
  <c r="I22" i="12"/>
  <c r="D17" i="6" l="1"/>
  <c r="B3" i="11" l="1"/>
  <c r="T33" i="14" l="1"/>
  <c r="B25" i="19" l="1"/>
  <c r="K66" i="14" l="1"/>
  <c r="L66" s="1"/>
  <c r="K60"/>
  <c r="L60" s="1"/>
  <c r="F15" i="12"/>
  <c r="I5" i="14"/>
  <c r="B156" i="18" l="1"/>
  <c r="B150"/>
  <c r="B149"/>
  <c r="L131" i="14" l="1"/>
  <c r="G193" i="18"/>
  <c r="F193"/>
  <c r="F192"/>
  <c r="G191"/>
  <c r="F191"/>
  <c r="G181"/>
  <c r="G192" s="1"/>
  <c r="F182"/>
  <c r="F181"/>
  <c r="F180"/>
  <c r="F179"/>
  <c r="R66" i="4"/>
  <c r="K66" s="1"/>
  <c r="L66" l="1"/>
  <c r="F1119" i="11"/>
  <c r="F1120" s="1"/>
  <c r="R67" i="4"/>
  <c r="K67" s="1"/>
  <c r="L67" s="1"/>
  <c r="I241" i="18"/>
  <c r="E241"/>
  <c r="E242" s="1"/>
  <c r="E94"/>
  <c r="E93"/>
  <c r="E91"/>
  <c r="I94"/>
  <c r="I91"/>
  <c r="F1137" i="11"/>
  <c r="B1122"/>
  <c r="B1123"/>
  <c r="K1120"/>
  <c r="C1120"/>
  <c r="C1119"/>
  <c r="M66" i="4"/>
  <c r="M84"/>
  <c r="N84"/>
  <c r="O84" s="1"/>
  <c r="I208" i="18"/>
  <c r="H704" i="11"/>
  <c r="M67" i="4" l="1"/>
  <c r="I242" i="18"/>
  <c r="E243"/>
  <c r="I235"/>
  <c r="I93"/>
  <c r="P84" i="4"/>
  <c r="B311" i="18"/>
  <c r="I243" l="1"/>
  <c r="E244"/>
  <c r="I236"/>
  <c r="C260" i="11"/>
  <c r="B260"/>
  <c r="B236"/>
  <c r="K36" i="14"/>
  <c r="I244" i="18" l="1"/>
  <c r="E245"/>
  <c r="N36" i="14"/>
  <c r="L36"/>
  <c r="E246" i="18" l="1"/>
  <c r="I246" s="1"/>
  <c r="I245"/>
  <c r="O36" i="14"/>
  <c r="P36" s="1"/>
  <c r="M36"/>
  <c r="L124" l="1"/>
  <c r="M124" s="1"/>
  <c r="I6"/>
  <c r="V22"/>
  <c r="B153" i="18"/>
  <c r="B152"/>
  <c r="V83" i="5"/>
  <c r="U83"/>
  <c r="V82"/>
  <c r="U82"/>
  <c r="V80"/>
  <c r="U80"/>
  <c r="V79"/>
  <c r="U79"/>
  <c r="V78"/>
  <c r="U78"/>
  <c r="V77"/>
  <c r="U77"/>
  <c r="V75"/>
  <c r="U75"/>
  <c r="V74"/>
  <c r="U74"/>
  <c r="V73"/>
  <c r="U73"/>
  <c r="V72"/>
  <c r="U72"/>
  <c r="V71"/>
  <c r="U71"/>
  <c r="V70"/>
  <c r="U70"/>
  <c r="V68"/>
  <c r="U68"/>
  <c r="V67"/>
  <c r="U67"/>
  <c r="V66"/>
  <c r="U66"/>
  <c r="V65"/>
  <c r="U65"/>
  <c r="V63"/>
  <c r="U63"/>
  <c r="V62"/>
  <c r="U62"/>
  <c r="V61"/>
  <c r="U61"/>
  <c r="V60"/>
  <c r="U60"/>
  <c r="V59"/>
  <c r="U59"/>
  <c r="V58"/>
  <c r="U58"/>
  <c r="V57"/>
  <c r="U57"/>
  <c r="V54"/>
  <c r="U54"/>
  <c r="V53"/>
  <c r="U53"/>
  <c r="V49"/>
  <c r="U49"/>
  <c r="V47"/>
  <c r="U47"/>
  <c r="V46"/>
  <c r="U46"/>
  <c r="V45"/>
  <c r="U45"/>
  <c r="V44"/>
  <c r="U44"/>
  <c r="V42"/>
  <c r="U42"/>
  <c r="V41"/>
  <c r="U41"/>
  <c r="V40"/>
  <c r="U40"/>
  <c r="V39"/>
  <c r="U39"/>
  <c r="V37"/>
  <c r="U37"/>
  <c r="V36"/>
  <c r="U36"/>
  <c r="V35"/>
  <c r="U35"/>
  <c r="V34"/>
  <c r="U34"/>
  <c r="V33"/>
  <c r="U33"/>
  <c r="V31"/>
  <c r="U31"/>
  <c r="V30"/>
  <c r="U30"/>
  <c r="V29"/>
  <c r="U29"/>
  <c r="V27"/>
  <c r="U27"/>
  <c r="V26"/>
  <c r="U26"/>
  <c r="V24"/>
  <c r="U24"/>
  <c r="V23"/>
  <c r="U23"/>
  <c r="V22"/>
  <c r="U22"/>
  <c r="V20"/>
  <c r="U20"/>
  <c r="V19"/>
  <c r="U19"/>
  <c r="V18"/>
  <c r="U18"/>
  <c r="V17"/>
  <c r="U17"/>
  <c r="V16"/>
  <c r="U16"/>
  <c r="V15"/>
  <c r="U15"/>
  <c r="V13"/>
  <c r="U13"/>
  <c r="V12"/>
  <c r="U12"/>
  <c r="V10"/>
  <c r="U10"/>
  <c r="V9"/>
  <c r="U9"/>
  <c r="V8"/>
  <c r="U8"/>
  <c r="F28" i="23" l="1"/>
  <c r="F27"/>
  <c r="F26"/>
  <c r="E28"/>
  <c r="D28"/>
  <c r="C28"/>
  <c r="E26"/>
  <c r="D26"/>
  <c r="C26"/>
  <c r="B4"/>
  <c r="K33" i="14"/>
  <c r="K749" i="11"/>
  <c r="K753" s="1"/>
  <c r="K755" s="1"/>
  <c r="C746"/>
  <c r="B746"/>
  <c r="B745"/>
  <c r="M131" i="14"/>
  <c r="V21"/>
  <c r="AB1" i="12"/>
  <c r="H921" i="11" l="1"/>
  <c r="F921"/>
  <c r="K921" l="1"/>
  <c r="F16" i="12"/>
  <c r="K802" i="11" l="1"/>
  <c r="K801"/>
  <c r="G765"/>
  <c r="G777"/>
  <c r="F190" i="18" l="1"/>
  <c r="F178"/>
  <c r="E7" i="23"/>
  <c r="W54" i="14"/>
  <c r="K54" s="1"/>
  <c r="M18" i="18" l="1"/>
  <c r="M71"/>
  <c r="M69"/>
  <c r="M70"/>
  <c r="A17" i="20"/>
  <c r="L139" i="14"/>
  <c r="L134"/>
  <c r="L133"/>
  <c r="L132"/>
  <c r="L130"/>
  <c r="L129"/>
  <c r="L128"/>
  <c r="L127"/>
  <c r="L126"/>
  <c r="L125"/>
  <c r="L123"/>
  <c r="L122"/>
  <c r="L121"/>
  <c r="L120"/>
  <c r="L119"/>
  <c r="L118"/>
  <c r="L117"/>
  <c r="L116"/>
  <c r="L115"/>
  <c r="L114"/>
  <c r="L113"/>
  <c r="L112"/>
  <c r="L111"/>
  <c r="L110"/>
  <c r="L109"/>
  <c r="L108"/>
  <c r="L107"/>
  <c r="L106"/>
  <c r="L105"/>
  <c r="L104"/>
  <c r="L103"/>
  <c r="L102"/>
  <c r="L101"/>
  <c r="L100"/>
  <c r="L99"/>
  <c r="L98"/>
  <c r="L97"/>
  <c r="L96"/>
  <c r="L95"/>
  <c r="L94"/>
  <c r="L93"/>
  <c r="L92"/>
  <c r="C882" i="11"/>
  <c r="B882"/>
  <c r="A4" i="14" l="1"/>
  <c r="A4" i="13" s="1"/>
  <c r="C5" i="16" l="1"/>
  <c r="A4"/>
  <c r="A4" i="17"/>
  <c r="E52" i="14"/>
  <c r="B11" i="16" l="1"/>
  <c r="B13"/>
  <c r="B15"/>
  <c r="B17"/>
  <c r="B19"/>
  <c r="B21"/>
  <c r="B23"/>
  <c r="B25"/>
  <c r="B27"/>
  <c r="B29"/>
  <c r="B31"/>
  <c r="B33"/>
  <c r="B35"/>
  <c r="B37"/>
  <c r="B39"/>
  <c r="B41"/>
  <c r="B43"/>
  <c r="B45"/>
  <c r="B47"/>
  <c r="B49"/>
  <c r="B51"/>
  <c r="B53"/>
  <c r="B55"/>
  <c r="B57"/>
  <c r="B59"/>
  <c r="B61"/>
  <c r="B63"/>
  <c r="B65"/>
  <c r="B67"/>
  <c r="B69"/>
  <c r="B71"/>
  <c r="B73"/>
  <c r="B75"/>
  <c r="B77"/>
  <c r="B79"/>
  <c r="B81"/>
  <c r="B83"/>
  <c r="B85"/>
  <c r="B87"/>
  <c r="B89"/>
  <c r="B91"/>
  <c r="B93"/>
  <c r="B95"/>
  <c r="B97"/>
  <c r="B99"/>
  <c r="B101"/>
  <c r="B103"/>
  <c r="B105"/>
  <c r="B107"/>
  <c r="B109"/>
  <c r="B111"/>
  <c r="B113"/>
  <c r="B115"/>
  <c r="B117"/>
  <c r="B119"/>
  <c r="B121"/>
  <c r="B123"/>
  <c r="B125"/>
  <c r="B127"/>
  <c r="B129"/>
  <c r="B131"/>
  <c r="B133"/>
  <c r="B135"/>
  <c r="B137"/>
  <c r="B139"/>
  <c r="B141"/>
  <c r="B143"/>
  <c r="B145"/>
  <c r="B147"/>
  <c r="B149"/>
  <c r="B151"/>
  <c r="B153"/>
  <c r="B155"/>
  <c r="B157"/>
  <c r="B159"/>
  <c r="B161"/>
  <c r="B163"/>
  <c r="B165"/>
  <c r="B167"/>
  <c r="B169"/>
  <c r="B171"/>
  <c r="B173"/>
  <c r="B175"/>
  <c r="B177"/>
  <c r="B179"/>
  <c r="B181"/>
  <c r="B183"/>
  <c r="B185"/>
  <c r="B187"/>
  <c r="B189"/>
  <c r="B191"/>
  <c r="B193"/>
  <c r="B195"/>
  <c r="B197"/>
  <c r="B199"/>
  <c r="B201"/>
  <c r="B203"/>
  <c r="B205"/>
  <c r="B207"/>
  <c r="B209"/>
  <c r="C10"/>
  <c r="C12"/>
  <c r="C14"/>
  <c r="C16"/>
  <c r="C18"/>
  <c r="C20"/>
  <c r="C22"/>
  <c r="C24"/>
  <c r="C26"/>
  <c r="C28"/>
  <c r="C30"/>
  <c r="C32"/>
  <c r="C34"/>
  <c r="C36"/>
  <c r="C38"/>
  <c r="C40"/>
  <c r="C42"/>
  <c r="C44"/>
  <c r="C46"/>
  <c r="C48"/>
  <c r="C50"/>
  <c r="C52"/>
  <c r="C54"/>
  <c r="C56"/>
  <c r="C58"/>
  <c r="C60"/>
  <c r="C62"/>
  <c r="C64"/>
  <c r="C66"/>
  <c r="C68"/>
  <c r="C70"/>
  <c r="C72"/>
  <c r="C74"/>
  <c r="C76"/>
  <c r="C78"/>
  <c r="C80"/>
  <c r="C82"/>
  <c r="C84"/>
  <c r="C86"/>
  <c r="C88"/>
  <c r="C90"/>
  <c r="C92"/>
  <c r="C94"/>
  <c r="C96"/>
  <c r="C98"/>
  <c r="C100"/>
  <c r="C102"/>
  <c r="C104"/>
  <c r="C106"/>
  <c r="C108"/>
  <c r="C110"/>
  <c r="C112"/>
  <c r="C114"/>
  <c r="C116"/>
  <c r="C118"/>
  <c r="C120"/>
  <c r="C122"/>
  <c r="C124"/>
  <c r="C126"/>
  <c r="C128"/>
  <c r="C130"/>
  <c r="C132"/>
  <c r="C134"/>
  <c r="C136"/>
  <c r="C138"/>
  <c r="C140"/>
  <c r="C142"/>
  <c r="C144"/>
  <c r="C146"/>
  <c r="C148"/>
  <c r="C150"/>
  <c r="C152"/>
  <c r="C154"/>
  <c r="C156"/>
  <c r="C158"/>
  <c r="C160"/>
  <c r="C162"/>
  <c r="C164"/>
  <c r="C166"/>
  <c r="C168"/>
  <c r="C170"/>
  <c r="C172"/>
  <c r="C174"/>
  <c r="C176"/>
  <c r="C178"/>
  <c r="C180"/>
  <c r="C182"/>
  <c r="C184"/>
  <c r="C186"/>
  <c r="C188"/>
  <c r="C190"/>
  <c r="C192"/>
  <c r="C194"/>
  <c r="C196"/>
  <c r="C198"/>
  <c r="C200"/>
  <c r="C202"/>
  <c r="C204"/>
  <c r="C206"/>
  <c r="C208"/>
  <c r="B9"/>
  <c r="B10"/>
  <c r="B12"/>
  <c r="B14"/>
  <c r="B16"/>
  <c r="B18"/>
  <c r="B20"/>
  <c r="B22"/>
  <c r="B24"/>
  <c r="B26"/>
  <c r="B28"/>
  <c r="B30"/>
  <c r="B32"/>
  <c r="B34"/>
  <c r="B36"/>
  <c r="B38"/>
  <c r="B40"/>
  <c r="B42"/>
  <c r="B44"/>
  <c r="B46"/>
  <c r="B48"/>
  <c r="B50"/>
  <c r="B52"/>
  <c r="B54"/>
  <c r="B56"/>
  <c r="B58"/>
  <c r="B60"/>
  <c r="B62"/>
  <c r="B64"/>
  <c r="B66"/>
  <c r="B68"/>
  <c r="B70"/>
  <c r="B72"/>
  <c r="B74"/>
  <c r="B76"/>
  <c r="B78"/>
  <c r="B80"/>
  <c r="B82"/>
  <c r="B84"/>
  <c r="B86"/>
  <c r="B88"/>
  <c r="B90"/>
  <c r="B92"/>
  <c r="B94"/>
  <c r="B96"/>
  <c r="B98"/>
  <c r="B100"/>
  <c r="B102"/>
  <c r="B104"/>
  <c r="B106"/>
  <c r="B108"/>
  <c r="B110"/>
  <c r="B112"/>
  <c r="B114"/>
  <c r="B116"/>
  <c r="B118"/>
  <c r="B120"/>
  <c r="B122"/>
  <c r="B124"/>
  <c r="B126"/>
  <c r="B128"/>
  <c r="B130"/>
  <c r="B132"/>
  <c r="B134"/>
  <c r="B136"/>
  <c r="B138"/>
  <c r="B140"/>
  <c r="B142"/>
  <c r="B144"/>
  <c r="B146"/>
  <c r="B148"/>
  <c r="B150"/>
  <c r="B152"/>
  <c r="B154"/>
  <c r="B156"/>
  <c r="B158"/>
  <c r="B160"/>
  <c r="B162"/>
  <c r="B164"/>
  <c r="B166"/>
  <c r="B168"/>
  <c r="B170"/>
  <c r="B172"/>
  <c r="B174"/>
  <c r="B176"/>
  <c r="B178"/>
  <c r="B180"/>
  <c r="B182"/>
  <c r="B184"/>
  <c r="B186"/>
  <c r="B188"/>
  <c r="B190"/>
  <c r="B192"/>
  <c r="B194"/>
  <c r="B196"/>
  <c r="B198"/>
  <c r="B200"/>
  <c r="B202"/>
  <c r="B204"/>
  <c r="B206"/>
  <c r="B208"/>
  <c r="C9"/>
  <c r="C11"/>
  <c r="C13"/>
  <c r="C15"/>
  <c r="C17"/>
  <c r="C19"/>
  <c r="C21"/>
  <c r="C23"/>
  <c r="C25"/>
  <c r="C27"/>
  <c r="C29"/>
  <c r="C31"/>
  <c r="C33"/>
  <c r="C35"/>
  <c r="C37"/>
  <c r="C39"/>
  <c r="C41"/>
  <c r="C43"/>
  <c r="C45"/>
  <c r="C47"/>
  <c r="C49"/>
  <c r="C51"/>
  <c r="C53"/>
  <c r="C55"/>
  <c r="C57"/>
  <c r="C59"/>
  <c r="C61"/>
  <c r="C63"/>
  <c r="C65"/>
  <c r="C67"/>
  <c r="C69"/>
  <c r="C71"/>
  <c r="C73"/>
  <c r="C75"/>
  <c r="C77"/>
  <c r="C79"/>
  <c r="C81"/>
  <c r="C83"/>
  <c r="C85"/>
  <c r="C87"/>
  <c r="C89"/>
  <c r="C91"/>
  <c r="C93"/>
  <c r="C95"/>
  <c r="C97"/>
  <c r="C99"/>
  <c r="C101"/>
  <c r="C103"/>
  <c r="C105"/>
  <c r="C107"/>
  <c r="C109"/>
  <c r="C111"/>
  <c r="C113"/>
  <c r="C115"/>
  <c r="C117"/>
  <c r="C119"/>
  <c r="C121"/>
  <c r="C123"/>
  <c r="C125"/>
  <c r="C127"/>
  <c r="C129"/>
  <c r="C131"/>
  <c r="C133"/>
  <c r="C135"/>
  <c r="C137"/>
  <c r="C139"/>
  <c r="C141"/>
  <c r="C143"/>
  <c r="C145"/>
  <c r="C147"/>
  <c r="C149"/>
  <c r="C151"/>
  <c r="C153"/>
  <c r="C155"/>
  <c r="C157"/>
  <c r="C159"/>
  <c r="C161"/>
  <c r="C163"/>
  <c r="C165"/>
  <c r="C167"/>
  <c r="C169"/>
  <c r="C171"/>
  <c r="C173"/>
  <c r="C175"/>
  <c r="C177"/>
  <c r="C179"/>
  <c r="C181"/>
  <c r="C183"/>
  <c r="C185"/>
  <c r="C187"/>
  <c r="C189"/>
  <c r="C191"/>
  <c r="C193"/>
  <c r="C195"/>
  <c r="C197"/>
  <c r="C199"/>
  <c r="C201"/>
  <c r="C203"/>
  <c r="C205"/>
  <c r="C207"/>
  <c r="C209"/>
  <c r="H877" i="11"/>
  <c r="F875"/>
  <c r="G869"/>
  <c r="F870" s="1"/>
  <c r="C868"/>
  <c r="B868"/>
  <c r="W168" i="14"/>
  <c r="K168" s="1"/>
  <c r="F871" i="11" l="1"/>
  <c r="S165" i="14"/>
  <c r="S164"/>
  <c r="S163"/>
  <c r="U163" s="1"/>
  <c r="D165"/>
  <c r="D164"/>
  <c r="D163"/>
  <c r="C861" i="11"/>
  <c r="B861"/>
  <c r="F872" l="1"/>
  <c r="B844"/>
  <c r="C851"/>
  <c r="B851"/>
  <c r="B837"/>
  <c r="B830"/>
  <c r="C829"/>
  <c r="B829"/>
  <c r="C828"/>
  <c r="B828"/>
  <c r="C844"/>
  <c r="C837"/>
  <c r="C830"/>
  <c r="K167" i="14" l="1"/>
  <c r="L167" s="1"/>
  <c r="U165"/>
  <c r="U164"/>
  <c r="I324" i="18"/>
  <c r="T166" i="14" l="1"/>
  <c r="K166" s="1"/>
  <c r="M167"/>
  <c r="A2" i="11" l="1"/>
  <c r="G3" i="5"/>
  <c r="A2" i="6"/>
  <c r="F9" i="5" l="1"/>
  <c r="E10"/>
  <c r="D12"/>
  <c r="H12"/>
  <c r="G13"/>
  <c r="F15"/>
  <c r="E16"/>
  <c r="D17"/>
  <c r="H17"/>
  <c r="G18"/>
  <c r="F19"/>
  <c r="E20"/>
  <c r="D22"/>
  <c r="H22"/>
  <c r="G23"/>
  <c r="F24"/>
  <c r="E26"/>
  <c r="D27"/>
  <c r="H27"/>
  <c r="G29"/>
  <c r="F30"/>
  <c r="E31"/>
  <c r="D33"/>
  <c r="H33"/>
  <c r="G34"/>
  <c r="F35"/>
  <c r="E36"/>
  <c r="D37"/>
  <c r="H37"/>
  <c r="G39"/>
  <c r="F40"/>
  <c r="E41"/>
  <c r="D42"/>
  <c r="H42"/>
  <c r="G44"/>
  <c r="F45"/>
  <c r="E46"/>
  <c r="D47"/>
  <c r="H47"/>
  <c r="G48"/>
  <c r="F49"/>
  <c r="D52"/>
  <c r="H52"/>
  <c r="G53"/>
  <c r="F54"/>
  <c r="D57"/>
  <c r="H57"/>
  <c r="G58"/>
  <c r="F59"/>
  <c r="E60"/>
  <c r="E9"/>
  <c r="D10"/>
  <c r="H10"/>
  <c r="G12"/>
  <c r="F13"/>
  <c r="E15"/>
  <c r="D16"/>
  <c r="H16"/>
  <c r="G17"/>
  <c r="F18"/>
  <c r="E19"/>
  <c r="D20"/>
  <c r="H20"/>
  <c r="G22"/>
  <c r="F23"/>
  <c r="E24"/>
  <c r="D26"/>
  <c r="H26"/>
  <c r="G27"/>
  <c r="F29"/>
  <c r="E30"/>
  <c r="D31"/>
  <c r="H31"/>
  <c r="G33"/>
  <c r="F34"/>
  <c r="E35"/>
  <c r="D36"/>
  <c r="H36"/>
  <c r="G37"/>
  <c r="F39"/>
  <c r="E40"/>
  <c r="D41"/>
  <c r="H41"/>
  <c r="G42"/>
  <c r="F44"/>
  <c r="E45"/>
  <c r="D46"/>
  <c r="H46"/>
  <c r="G47"/>
  <c r="F48"/>
  <c r="E49"/>
  <c r="D51"/>
  <c r="G52"/>
  <c r="F53"/>
  <c r="E54"/>
  <c r="D56"/>
  <c r="G57"/>
  <c r="F58"/>
  <c r="E59"/>
  <c r="D60"/>
  <c r="D9"/>
  <c r="H9"/>
  <c r="G10"/>
  <c r="F12"/>
  <c r="E13"/>
  <c r="D15"/>
  <c r="H15"/>
  <c r="G16"/>
  <c r="F17"/>
  <c r="E18"/>
  <c r="D19"/>
  <c r="H19"/>
  <c r="G20"/>
  <c r="F22"/>
  <c r="E23"/>
  <c r="D24"/>
  <c r="H24"/>
  <c r="G26"/>
  <c r="F27"/>
  <c r="E29"/>
  <c r="D30"/>
  <c r="H30"/>
  <c r="G31"/>
  <c r="F33"/>
  <c r="E34"/>
  <c r="D35"/>
  <c r="H35"/>
  <c r="G36"/>
  <c r="F37"/>
  <c r="E39"/>
  <c r="D40"/>
  <c r="H40"/>
  <c r="G41"/>
  <c r="F42"/>
  <c r="E44"/>
  <c r="D45"/>
  <c r="H45"/>
  <c r="G46"/>
  <c r="F47"/>
  <c r="E48"/>
  <c r="D49"/>
  <c r="H49"/>
  <c r="F52"/>
  <c r="E53"/>
  <c r="D54"/>
  <c r="H54"/>
  <c r="F57"/>
  <c r="E58"/>
  <c r="D59"/>
  <c r="H59"/>
  <c r="G60"/>
  <c r="F61"/>
  <c r="E62"/>
  <c r="D63"/>
  <c r="H63"/>
  <c r="G9"/>
  <c r="F10"/>
  <c r="E12"/>
  <c r="D13"/>
  <c r="H13"/>
  <c r="G15"/>
  <c r="F16"/>
  <c r="E17"/>
  <c r="D18"/>
  <c r="H18"/>
  <c r="G19"/>
  <c r="F20"/>
  <c r="E22"/>
  <c r="D23"/>
  <c r="H23"/>
  <c r="G24"/>
  <c r="F26"/>
  <c r="E27"/>
  <c r="D29"/>
  <c r="H29"/>
  <c r="G30"/>
  <c r="F31"/>
  <c r="E33"/>
  <c r="D34"/>
  <c r="H34"/>
  <c r="G35"/>
  <c r="F36"/>
  <c r="E37"/>
  <c r="D39"/>
  <c r="H39"/>
  <c r="G40"/>
  <c r="F41"/>
  <c r="E42"/>
  <c r="D44"/>
  <c r="H44"/>
  <c r="G45"/>
  <c r="F46"/>
  <c r="E47"/>
  <c r="D48"/>
  <c r="H48"/>
  <c r="G49"/>
  <c r="E52"/>
  <c r="D53"/>
  <c r="H53"/>
  <c r="G54"/>
  <c r="E57"/>
  <c r="D58"/>
  <c r="H58"/>
  <c r="G59"/>
  <c r="F60"/>
  <c r="G61"/>
  <c r="G62"/>
  <c r="G63"/>
  <c r="G65"/>
  <c r="F66"/>
  <c r="E67"/>
  <c r="D68"/>
  <c r="H68"/>
  <c r="G70"/>
  <c r="F71"/>
  <c r="E72"/>
  <c r="D73"/>
  <c r="H73"/>
  <c r="G74"/>
  <c r="F75"/>
  <c r="E77"/>
  <c r="D78"/>
  <c r="H78"/>
  <c r="G79"/>
  <c r="F80"/>
  <c r="E82"/>
  <c r="D83"/>
  <c r="H83"/>
  <c r="E8"/>
  <c r="E61"/>
  <c r="F62"/>
  <c r="F63"/>
  <c r="F65"/>
  <c r="E66"/>
  <c r="D67"/>
  <c r="H67"/>
  <c r="G68"/>
  <c r="F70"/>
  <c r="E71"/>
  <c r="D72"/>
  <c r="H72"/>
  <c r="G73"/>
  <c r="F74"/>
  <c r="E75"/>
  <c r="D77"/>
  <c r="H77"/>
  <c r="G78"/>
  <c r="F79"/>
  <c r="E80"/>
  <c r="D82"/>
  <c r="H82"/>
  <c r="G83"/>
  <c r="F8"/>
  <c r="D61"/>
  <c r="D62"/>
  <c r="E63"/>
  <c r="E65"/>
  <c r="D66"/>
  <c r="H66"/>
  <c r="G67"/>
  <c r="F68"/>
  <c r="E70"/>
  <c r="D71"/>
  <c r="H71"/>
  <c r="G72"/>
  <c r="F73"/>
  <c r="E74"/>
  <c r="D75"/>
  <c r="H75"/>
  <c r="G77"/>
  <c r="F78"/>
  <c r="E79"/>
  <c r="D80"/>
  <c r="H80"/>
  <c r="G82"/>
  <c r="F83"/>
  <c r="G8"/>
  <c r="H60"/>
  <c r="H61"/>
  <c r="H62"/>
  <c r="D65"/>
  <c r="H65"/>
  <c r="G66"/>
  <c r="F67"/>
  <c r="E68"/>
  <c r="D70"/>
  <c r="H70"/>
  <c r="G71"/>
  <c r="F72"/>
  <c r="E73"/>
  <c r="D74"/>
  <c r="H74"/>
  <c r="G75"/>
  <c r="F77"/>
  <c r="E78"/>
  <c r="D79"/>
  <c r="H79"/>
  <c r="G80"/>
  <c r="F82"/>
  <c r="E83"/>
  <c r="H8"/>
  <c r="D8"/>
  <c r="A2"/>
  <c r="H288" i="18"/>
  <c r="H289"/>
  <c r="H290"/>
  <c r="E274"/>
  <c r="E171"/>
  <c r="H194"/>
  <c r="H193"/>
  <c r="H192"/>
  <c r="H191"/>
  <c r="H180"/>
  <c r="H181"/>
  <c r="H182"/>
  <c r="E173"/>
  <c r="E160"/>
  <c r="E159"/>
  <c r="E157"/>
  <c r="E142"/>
  <c r="E143"/>
  <c r="E144"/>
  <c r="E141"/>
  <c r="E140"/>
  <c r="H27"/>
  <c r="H11"/>
  <c r="C5" i="17"/>
  <c r="A2" i="18"/>
  <c r="J294" i="11" l="1"/>
  <c r="J323"/>
  <c r="J129"/>
  <c r="B10" i="17"/>
  <c r="B12"/>
  <c r="B14"/>
  <c r="B16"/>
  <c r="B18"/>
  <c r="E225" i="18" s="1"/>
  <c r="B20" i="17"/>
  <c r="B22"/>
  <c r="B24"/>
  <c r="B26"/>
  <c r="B28"/>
  <c r="B30"/>
  <c r="B32"/>
  <c r="B34"/>
  <c r="B36"/>
  <c r="B38"/>
  <c r="B40"/>
  <c r="B42"/>
  <c r="B44"/>
  <c r="B46"/>
  <c r="B48"/>
  <c r="B50"/>
  <c r="B52"/>
  <c r="B54"/>
  <c r="B56"/>
  <c r="B58"/>
  <c r="B60"/>
  <c r="B62"/>
  <c r="B64"/>
  <c r="B66"/>
  <c r="B68"/>
  <c r="B70"/>
  <c r="B72"/>
  <c r="B74"/>
  <c r="B76"/>
  <c r="B78"/>
  <c r="B80"/>
  <c r="B82"/>
  <c r="B84"/>
  <c r="B86"/>
  <c r="B88"/>
  <c r="B90"/>
  <c r="B92"/>
  <c r="B94"/>
  <c r="B96"/>
  <c r="B98"/>
  <c r="B100"/>
  <c r="B102"/>
  <c r="B104"/>
  <c r="B106"/>
  <c r="B108"/>
  <c r="B110"/>
  <c r="B112"/>
  <c r="B114"/>
  <c r="B116"/>
  <c r="B118"/>
  <c r="B120"/>
  <c r="B122"/>
  <c r="B124"/>
  <c r="B126"/>
  <c r="B128"/>
  <c r="B130"/>
  <c r="B132"/>
  <c r="B134"/>
  <c r="B136"/>
  <c r="B138"/>
  <c r="B140"/>
  <c r="B142"/>
  <c r="B144"/>
  <c r="B146"/>
  <c r="B148"/>
  <c r="B150"/>
  <c r="B152"/>
  <c r="B154"/>
  <c r="B156"/>
  <c r="B158"/>
  <c r="B160"/>
  <c r="B162"/>
  <c r="B164"/>
  <c r="B166"/>
  <c r="B168"/>
  <c r="B170"/>
  <c r="B172"/>
  <c r="B174"/>
  <c r="B176"/>
  <c r="B178"/>
  <c r="B180"/>
  <c r="B182"/>
  <c r="B184"/>
  <c r="B186"/>
  <c r="B188"/>
  <c r="B190"/>
  <c r="B192"/>
  <c r="B194"/>
  <c r="B196"/>
  <c r="B198"/>
  <c r="B200"/>
  <c r="B202"/>
  <c r="B204"/>
  <c r="B206"/>
  <c r="B208"/>
  <c r="C9"/>
  <c r="C11"/>
  <c r="C13"/>
  <c r="C15"/>
  <c r="C17"/>
  <c r="C19"/>
  <c r="C21"/>
  <c r="C23"/>
  <c r="C25"/>
  <c r="C27"/>
  <c r="C29"/>
  <c r="C31"/>
  <c r="H12" i="18" s="1"/>
  <c r="C33" i="17"/>
  <c r="C35"/>
  <c r="C37"/>
  <c r="C39"/>
  <c r="C41"/>
  <c r="C43"/>
  <c r="C45"/>
  <c r="C47"/>
  <c r="C49"/>
  <c r="C51"/>
  <c r="C53"/>
  <c r="C55"/>
  <c r="C57"/>
  <c r="C59"/>
  <c r="C61"/>
  <c r="C63"/>
  <c r="C65"/>
  <c r="C67"/>
  <c r="C69"/>
  <c r="C71"/>
  <c r="C73"/>
  <c r="C75"/>
  <c r="C77"/>
  <c r="C79"/>
  <c r="C81"/>
  <c r="H72" i="18" s="1"/>
  <c r="C83" i="17"/>
  <c r="C85"/>
  <c r="C87"/>
  <c r="C89"/>
  <c r="C91"/>
  <c r="C93"/>
  <c r="C95"/>
  <c r="C97"/>
  <c r="C99"/>
  <c r="C101"/>
  <c r="C103"/>
  <c r="C105"/>
  <c r="C107"/>
  <c r="C109"/>
  <c r="C111"/>
  <c r="C113"/>
  <c r="C115"/>
  <c r="C117"/>
  <c r="C119"/>
  <c r="C121"/>
  <c r="C123"/>
  <c r="C125"/>
  <c r="C127"/>
  <c r="C129"/>
  <c r="C131"/>
  <c r="C133"/>
  <c r="C135"/>
  <c r="C137"/>
  <c r="C139"/>
  <c r="C141"/>
  <c r="C143"/>
  <c r="C145"/>
  <c r="C147"/>
  <c r="C149"/>
  <c r="C151"/>
  <c r="C153"/>
  <c r="C155"/>
  <c r="C157"/>
  <c r="C159"/>
  <c r="C161"/>
  <c r="C163"/>
  <c r="C165"/>
  <c r="C167"/>
  <c r="C169"/>
  <c r="C171"/>
  <c r="C173"/>
  <c r="C175"/>
  <c r="C177"/>
  <c r="C179"/>
  <c r="C181"/>
  <c r="C183"/>
  <c r="C185"/>
  <c r="C187"/>
  <c r="C189"/>
  <c r="C191"/>
  <c r="C193"/>
  <c r="C195"/>
  <c r="C197"/>
  <c r="C199"/>
  <c r="C201"/>
  <c r="C203"/>
  <c r="C205"/>
  <c r="C207"/>
  <c r="C209"/>
  <c r="B11"/>
  <c r="B13"/>
  <c r="B15"/>
  <c r="B17"/>
  <c r="B19"/>
  <c r="B21"/>
  <c r="B23"/>
  <c r="B25"/>
  <c r="B27"/>
  <c r="B29"/>
  <c r="B31"/>
  <c r="B33"/>
  <c r="B35"/>
  <c r="B37"/>
  <c r="B39"/>
  <c r="B41"/>
  <c r="B43"/>
  <c r="B45"/>
  <c r="B47"/>
  <c r="B49"/>
  <c r="B51"/>
  <c r="B53"/>
  <c r="B55"/>
  <c r="B57"/>
  <c r="B59"/>
  <c r="B61"/>
  <c r="E216" i="18" s="1"/>
  <c r="B63" i="17"/>
  <c r="B65"/>
  <c r="B67"/>
  <c r="B69"/>
  <c r="B71"/>
  <c r="B73"/>
  <c r="B75"/>
  <c r="B77"/>
  <c r="B79"/>
  <c r="B81"/>
  <c r="B83"/>
  <c r="B85"/>
  <c r="B87"/>
  <c r="B89"/>
  <c r="B91"/>
  <c r="B93"/>
  <c r="B95"/>
  <c r="B97"/>
  <c r="B99"/>
  <c r="B101"/>
  <c r="B103"/>
  <c r="B105"/>
  <c r="B107"/>
  <c r="B109"/>
  <c r="B111"/>
  <c r="B113"/>
  <c r="B115"/>
  <c r="B117"/>
  <c r="B119"/>
  <c r="B121"/>
  <c r="B123"/>
  <c r="B125"/>
  <c r="B127"/>
  <c r="B129"/>
  <c r="B131"/>
  <c r="B133"/>
  <c r="B135"/>
  <c r="B137"/>
  <c r="B139"/>
  <c r="B141"/>
  <c r="B143"/>
  <c r="B145"/>
  <c r="B147"/>
  <c r="B149"/>
  <c r="B151"/>
  <c r="B153"/>
  <c r="B155"/>
  <c r="B157"/>
  <c r="B159"/>
  <c r="B161"/>
  <c r="B163"/>
  <c r="B165"/>
  <c r="B167"/>
  <c r="B169"/>
  <c r="B171"/>
  <c r="B173"/>
  <c r="B175"/>
  <c r="B177"/>
  <c r="B179"/>
  <c r="B181"/>
  <c r="B183"/>
  <c r="B185"/>
  <c r="B187"/>
  <c r="B189"/>
  <c r="B191"/>
  <c r="B193"/>
  <c r="B195"/>
  <c r="B197"/>
  <c r="B199"/>
  <c r="B201"/>
  <c r="B203"/>
  <c r="B205"/>
  <c r="B207"/>
  <c r="B209"/>
  <c r="C10"/>
  <c r="C12"/>
  <c r="C14"/>
  <c r="C16"/>
  <c r="C18"/>
  <c r="C20"/>
  <c r="C22"/>
  <c r="C24"/>
  <c r="C26"/>
  <c r="C28"/>
  <c r="E88" i="18" s="1"/>
  <c r="C30" i="17"/>
  <c r="C32"/>
  <c r="C34"/>
  <c r="C36"/>
  <c r="C38"/>
  <c r="C40"/>
  <c r="C42"/>
  <c r="C44"/>
  <c r="C46"/>
  <c r="C48"/>
  <c r="C50"/>
  <c r="C52"/>
  <c r="C54"/>
  <c r="C56"/>
  <c r="C58"/>
  <c r="C60"/>
  <c r="C62"/>
  <c r="C64"/>
  <c r="C66"/>
  <c r="C68"/>
  <c r="C70"/>
  <c r="C72"/>
  <c r="C74"/>
  <c r="C76"/>
  <c r="C78"/>
  <c r="C80"/>
  <c r="C82"/>
  <c r="C84"/>
  <c r="C86"/>
  <c r="C88"/>
  <c r="C90"/>
  <c r="C92"/>
  <c r="C94"/>
  <c r="C96"/>
  <c r="C98"/>
  <c r="C100"/>
  <c r="C102"/>
  <c r="C104"/>
  <c r="C106"/>
  <c r="C108"/>
  <c r="C110"/>
  <c r="C112"/>
  <c r="C114"/>
  <c r="C116"/>
  <c r="C118"/>
  <c r="C120"/>
  <c r="C122"/>
  <c r="C124"/>
  <c r="C126"/>
  <c r="C128"/>
  <c r="C130"/>
  <c r="C132"/>
  <c r="C134"/>
  <c r="C136"/>
  <c r="C138"/>
  <c r="C140"/>
  <c r="C142"/>
  <c r="C144"/>
  <c r="C146"/>
  <c r="C148"/>
  <c r="C150"/>
  <c r="C152"/>
  <c r="C154"/>
  <c r="C156"/>
  <c r="C158"/>
  <c r="C160"/>
  <c r="C162"/>
  <c r="C164"/>
  <c r="C166"/>
  <c r="C168"/>
  <c r="C170"/>
  <c r="C172"/>
  <c r="C174"/>
  <c r="C176"/>
  <c r="C178"/>
  <c r="C180"/>
  <c r="C182"/>
  <c r="C184"/>
  <c r="C186"/>
  <c r="C188"/>
  <c r="C190"/>
  <c r="C192"/>
  <c r="C194"/>
  <c r="C196"/>
  <c r="C198"/>
  <c r="C200"/>
  <c r="C202"/>
  <c r="C204"/>
  <c r="C206"/>
  <c r="C208"/>
  <c r="B9"/>
  <c r="H17" i="18"/>
  <c r="H287"/>
  <c r="K853" i="11"/>
  <c r="H871"/>
  <c r="K871" s="1"/>
  <c r="E297" i="18"/>
  <c r="E302" s="1"/>
  <c r="I302" s="1"/>
  <c r="B320" s="1"/>
  <c r="E208" l="1"/>
  <c r="E209" s="1"/>
  <c r="I209" s="1"/>
  <c r="E233"/>
  <c r="E226"/>
  <c r="I225"/>
  <c r="E89"/>
  <c r="I89" s="1"/>
  <c r="E90"/>
  <c r="I90" s="1"/>
  <c r="E92"/>
  <c r="I92" s="1"/>
  <c r="I88"/>
  <c r="H67"/>
  <c r="H69"/>
  <c r="I69" s="1"/>
  <c r="L69" s="1"/>
  <c r="H13"/>
  <c r="E200"/>
  <c r="H68"/>
  <c r="H19"/>
  <c r="H18"/>
  <c r="I18" s="1"/>
  <c r="L18" s="1"/>
  <c r="H70"/>
  <c r="I70" s="1"/>
  <c r="L70" s="1"/>
  <c r="H71"/>
  <c r="I71" s="1"/>
  <c r="L71" s="1"/>
  <c r="H14"/>
  <c r="F334"/>
  <c r="I334" s="1"/>
  <c r="M328" s="1"/>
  <c r="F333"/>
  <c r="I333" s="1"/>
  <c r="M327" s="1"/>
  <c r="F332"/>
  <c r="I332" s="1"/>
  <c r="M326" s="1"/>
  <c r="F331"/>
  <c r="I331" s="1"/>
  <c r="M325" s="1"/>
  <c r="F328"/>
  <c r="I328" s="1"/>
  <c r="F327"/>
  <c r="I327" s="1"/>
  <c r="F326"/>
  <c r="I326" s="1"/>
  <c r="F325"/>
  <c r="I325" s="1"/>
  <c r="H29"/>
  <c r="H30"/>
  <c r="H32"/>
  <c r="H28"/>
  <c r="H15"/>
  <c r="E97"/>
  <c r="H16"/>
  <c r="H31"/>
  <c r="E261"/>
  <c r="E259"/>
  <c r="E108"/>
  <c r="E109" s="1"/>
  <c r="E110" s="1"/>
  <c r="E111" s="1"/>
  <c r="E112" s="1"/>
  <c r="E113" s="1"/>
  <c r="E115" s="1"/>
  <c r="E116" s="1"/>
  <c r="E117" s="1"/>
  <c r="E118" s="1"/>
  <c r="E120" s="1"/>
  <c r="E121" s="1"/>
  <c r="E122" s="1"/>
  <c r="E123" s="1"/>
  <c r="E124" s="1"/>
  <c r="H718" i="11"/>
  <c r="K17" i="22"/>
  <c r="E210" i="18" l="1"/>
  <c r="E211" s="1"/>
  <c r="I233"/>
  <c r="L233" s="1"/>
  <c r="E234"/>
  <c r="I226"/>
  <c r="E227"/>
  <c r="E98"/>
  <c r="E99" s="1"/>
  <c r="E100" s="1"/>
  <c r="E102" s="1"/>
  <c r="E101"/>
  <c r="E103"/>
  <c r="S325"/>
  <c r="I93" i="6" s="1"/>
  <c r="K832" i="11" s="1"/>
  <c r="R325" i="18"/>
  <c r="E93" i="6" s="1"/>
  <c r="H93" s="1"/>
  <c r="D832" i="11" s="1"/>
  <c r="Q325" i="18"/>
  <c r="D93" i="6" s="1"/>
  <c r="N325" i="18"/>
  <c r="K93" i="6" s="1"/>
  <c r="S326" i="18"/>
  <c r="I94" i="6" s="1"/>
  <c r="K839" i="11" s="1"/>
  <c r="R326" i="18"/>
  <c r="E94" i="6" s="1"/>
  <c r="H94" s="1"/>
  <c r="D839" i="11" s="1"/>
  <c r="Q326" i="18"/>
  <c r="D94" i="6" s="1"/>
  <c r="N326" i="18"/>
  <c r="K94" i="6" s="1"/>
  <c r="S327" i="18"/>
  <c r="I95" i="6" s="1"/>
  <c r="K846" i="11" s="1"/>
  <c r="R327" i="18"/>
  <c r="E95" i="6" s="1"/>
  <c r="H95" s="1"/>
  <c r="D846" i="11" s="1"/>
  <c r="Q327" i="18"/>
  <c r="D95" i="6" s="1"/>
  <c r="N327" i="18"/>
  <c r="K95" i="6" s="1"/>
  <c r="S328" i="18"/>
  <c r="I96" i="6" s="1"/>
  <c r="K863" i="11" s="1"/>
  <c r="R328" i="18"/>
  <c r="E96" i="6" s="1"/>
  <c r="H96" s="1"/>
  <c r="D863" i="11" s="1"/>
  <c r="Q328" i="18"/>
  <c r="D96" i="6" s="1"/>
  <c r="N328" i="18"/>
  <c r="K96" i="6" s="1"/>
  <c r="BC702" i="11"/>
  <c r="BC701"/>
  <c r="BC700"/>
  <c r="BC699"/>
  <c r="BC698"/>
  <c r="BC697"/>
  <c r="BC696"/>
  <c r="BC695"/>
  <c r="BB702"/>
  <c r="BB701"/>
  <c r="BB700"/>
  <c r="BB699"/>
  <c r="BB698"/>
  <c r="BB697"/>
  <c r="BB696"/>
  <c r="BB695"/>
  <c r="F718"/>
  <c r="F704"/>
  <c r="AW704"/>
  <c r="AT704"/>
  <c r="F705"/>
  <c r="AR704"/>
  <c r="AQ704"/>
  <c r="AO704"/>
  <c r="AN704"/>
  <c r="AL704"/>
  <c r="AK704"/>
  <c r="AI704"/>
  <c r="AH704"/>
  <c r="AF704"/>
  <c r="AE704"/>
  <c r="AC704"/>
  <c r="AB704"/>
  <c r="Z704"/>
  <c r="Y704"/>
  <c r="W704"/>
  <c r="V704"/>
  <c r="W691"/>
  <c r="AS702"/>
  <c r="AS701"/>
  <c r="AS700"/>
  <c r="AS699"/>
  <c r="AS698"/>
  <c r="AS697"/>
  <c r="AS696"/>
  <c r="AS695"/>
  <c r="AM702"/>
  <c r="AM701"/>
  <c r="AM700"/>
  <c r="AM699"/>
  <c r="AM698"/>
  <c r="AM697"/>
  <c r="AM696"/>
  <c r="AM695"/>
  <c r="AG702"/>
  <c r="AG701"/>
  <c r="AG700"/>
  <c r="AG699"/>
  <c r="AG698"/>
  <c r="AG697"/>
  <c r="AG696"/>
  <c r="AG695"/>
  <c r="AA696"/>
  <c r="AA697"/>
  <c r="AA698"/>
  <c r="AA699"/>
  <c r="AA700"/>
  <c r="AA701"/>
  <c r="AA702"/>
  <c r="AA695"/>
  <c r="AK696"/>
  <c r="AL696"/>
  <c r="AK697"/>
  <c r="AL697"/>
  <c r="AK698"/>
  <c r="AL698"/>
  <c r="AK699"/>
  <c r="AL699"/>
  <c r="AK700"/>
  <c r="AL700"/>
  <c r="AK701"/>
  <c r="AL701"/>
  <c r="AK702"/>
  <c r="AL702"/>
  <c r="AL695"/>
  <c r="AK695"/>
  <c r="AQ696"/>
  <c r="AR696"/>
  <c r="AQ697"/>
  <c r="AR697"/>
  <c r="AQ698"/>
  <c r="AR698"/>
  <c r="AQ699"/>
  <c r="AR699"/>
  <c r="AQ700"/>
  <c r="AR700"/>
  <c r="AQ701"/>
  <c r="AR701"/>
  <c r="AQ702"/>
  <c r="AR702"/>
  <c r="AR695"/>
  <c r="AQ695"/>
  <c r="AF695"/>
  <c r="AE696"/>
  <c r="AF696"/>
  <c r="AE697"/>
  <c r="AF697"/>
  <c r="AE698"/>
  <c r="AF698"/>
  <c r="AE699"/>
  <c r="AF699"/>
  <c r="AE700"/>
  <c r="AF700"/>
  <c r="AE701"/>
  <c r="AF701"/>
  <c r="AE702"/>
  <c r="AF702"/>
  <c r="AE695"/>
  <c r="Z696"/>
  <c r="Z697"/>
  <c r="Z698"/>
  <c r="Z699"/>
  <c r="Z700"/>
  <c r="Z701"/>
  <c r="Z702"/>
  <c r="Z695"/>
  <c r="Y696"/>
  <c r="Y697"/>
  <c r="Y698"/>
  <c r="Y699"/>
  <c r="Y700"/>
  <c r="Y701"/>
  <c r="Y702"/>
  <c r="Y695"/>
  <c r="I210" i="18" l="1"/>
  <c r="M233"/>
  <c r="K64" i="6" s="1"/>
  <c r="S233" i="18"/>
  <c r="I64" i="6" s="1"/>
  <c r="Q233" i="18"/>
  <c r="D64" i="6" s="1"/>
  <c r="R233" i="18"/>
  <c r="E64" i="6" s="1"/>
  <c r="H64" s="1"/>
  <c r="E235" i="18"/>
  <c r="E236" s="1"/>
  <c r="E237" s="1"/>
  <c r="I234"/>
  <c r="L234" s="1"/>
  <c r="E228"/>
  <c r="I227"/>
  <c r="L235" s="1"/>
  <c r="E212"/>
  <c r="I211"/>
  <c r="K862" i="11"/>
  <c r="K864" s="1"/>
  <c r="K865" s="1"/>
  <c r="K866" s="1"/>
  <c r="J96" i="6"/>
  <c r="K845" i="11"/>
  <c r="K847" s="1"/>
  <c r="K848" s="1"/>
  <c r="K849" s="1"/>
  <c r="L165" i="14" s="1"/>
  <c r="M165" s="1"/>
  <c r="J95" i="6"/>
  <c r="K838" i="11"/>
  <c r="K840" s="1"/>
  <c r="K841" s="1"/>
  <c r="K842" s="1"/>
  <c r="L164" i="14" s="1"/>
  <c r="M164" s="1"/>
  <c r="J94" i="6"/>
  <c r="K831" i="11"/>
  <c r="K833" s="1"/>
  <c r="K834" s="1"/>
  <c r="K835" s="1"/>
  <c r="L163" i="14" s="1"/>
  <c r="M163" s="1"/>
  <c r="J93" i="6"/>
  <c r="H691" i="11"/>
  <c r="AP702"/>
  <c r="AP701"/>
  <c r="AP699"/>
  <c r="AP698"/>
  <c r="AP697"/>
  <c r="AP696"/>
  <c r="AP695"/>
  <c r="AP700"/>
  <c r="AJ702"/>
  <c r="AJ701"/>
  <c r="AJ699"/>
  <c r="AJ698"/>
  <c r="AJ697"/>
  <c r="AJ696"/>
  <c r="AJ695"/>
  <c r="AJ700"/>
  <c r="AD702"/>
  <c r="AD701"/>
  <c r="AD699"/>
  <c r="AD698"/>
  <c r="AD697"/>
  <c r="AD696"/>
  <c r="AD695"/>
  <c r="AD700"/>
  <c r="X702"/>
  <c r="X701"/>
  <c r="X699"/>
  <c r="X698"/>
  <c r="X697"/>
  <c r="X696"/>
  <c r="X695"/>
  <c r="X700"/>
  <c r="R235" i="18" l="1"/>
  <c r="E66" i="6" s="1"/>
  <c r="H66" s="1"/>
  <c r="M235" i="18"/>
  <c r="K66" i="6" s="1"/>
  <c r="Q235" i="18"/>
  <c r="D66" i="6" s="1"/>
  <c r="S235" i="18"/>
  <c r="I66" i="6" s="1"/>
  <c r="E238" i="18"/>
  <c r="I238" s="1"/>
  <c r="I237"/>
  <c r="J64" i="6"/>
  <c r="Q234" i="18"/>
  <c r="D65" i="6" s="1"/>
  <c r="H1119" i="11" s="1"/>
  <c r="K1119" s="1"/>
  <c r="S234" i="18"/>
  <c r="I65" i="6" s="1"/>
  <c r="R234" i="18"/>
  <c r="E65" i="6" s="1"/>
  <c r="H65" s="1"/>
  <c r="M234" i="18"/>
  <c r="K65" i="6" s="1"/>
  <c r="I228" i="18"/>
  <c r="L236" s="1"/>
  <c r="E229"/>
  <c r="I212"/>
  <c r="E213"/>
  <c r="I213" s="1"/>
  <c r="O693" i="11"/>
  <c r="BB703" s="1"/>
  <c r="C705"/>
  <c r="B10" i="19"/>
  <c r="B11" s="1"/>
  <c r="B12" s="1"/>
  <c r="K23" i="14"/>
  <c r="G286" i="18"/>
  <c r="H286" s="1"/>
  <c r="I264"/>
  <c r="E265" s="1"/>
  <c r="I251"/>
  <c r="G190"/>
  <c r="H190" s="1"/>
  <c r="G178"/>
  <c r="H178" s="1"/>
  <c r="I163"/>
  <c r="I147"/>
  <c r="E149" s="1"/>
  <c r="E150" s="1"/>
  <c r="E152" s="1"/>
  <c r="E153" s="1"/>
  <c r="I126"/>
  <c r="E128" s="1"/>
  <c r="E129" s="1"/>
  <c r="E130" s="1"/>
  <c r="E131" s="1"/>
  <c r="E132" s="1"/>
  <c r="E133" s="1"/>
  <c r="E135" s="1"/>
  <c r="E136" s="1"/>
  <c r="E137" s="1"/>
  <c r="E138" s="1"/>
  <c r="I78"/>
  <c r="E79" s="1"/>
  <c r="G66"/>
  <c r="H66" s="1"/>
  <c r="G45"/>
  <c r="G44"/>
  <c r="G43"/>
  <c r="G42"/>
  <c r="G41"/>
  <c r="G27"/>
  <c r="G40" s="1"/>
  <c r="E85" l="1"/>
  <c r="E83"/>
  <c r="E81"/>
  <c r="I81" s="1"/>
  <c r="E82"/>
  <c r="J65" i="6"/>
  <c r="J66"/>
  <c r="E165" i="18"/>
  <c r="E167" s="1"/>
  <c r="I167" s="1"/>
  <c r="G179"/>
  <c r="H179" s="1"/>
  <c r="I179" s="1"/>
  <c r="E230"/>
  <c r="I230" s="1"/>
  <c r="L238" s="1"/>
  <c r="I229"/>
  <c r="L237" s="1"/>
  <c r="S236"/>
  <c r="I67" i="6" s="1"/>
  <c r="M236" i="18"/>
  <c r="K67" i="6" s="1"/>
  <c r="R236" i="18"/>
  <c r="E67" i="6" s="1"/>
  <c r="H67" s="1"/>
  <c r="Q236" i="18"/>
  <c r="D67" i="6" s="1"/>
  <c r="E80" i="18"/>
  <c r="E84"/>
  <c r="I84" s="1"/>
  <c r="E306"/>
  <c r="E311" s="1"/>
  <c r="I311" s="1"/>
  <c r="I314"/>
  <c r="E315" s="1"/>
  <c r="T691" i="11"/>
  <c r="Q691"/>
  <c r="G53" i="18"/>
  <c r="H53" s="1"/>
  <c r="I53" s="1"/>
  <c r="H40"/>
  <c r="I40" s="1"/>
  <c r="G54"/>
  <c r="H54" s="1"/>
  <c r="I54" s="1"/>
  <c r="H41"/>
  <c r="I41" s="1"/>
  <c r="G55"/>
  <c r="H55" s="1"/>
  <c r="I55" s="1"/>
  <c r="H42"/>
  <c r="I42" s="1"/>
  <c r="G56"/>
  <c r="H56" s="1"/>
  <c r="I56" s="1"/>
  <c r="H43"/>
  <c r="I43" s="1"/>
  <c r="G57"/>
  <c r="H57" s="1"/>
  <c r="I57" s="1"/>
  <c r="H44"/>
  <c r="I44" s="1"/>
  <c r="G58"/>
  <c r="H58" s="1"/>
  <c r="I58" s="1"/>
  <c r="H45"/>
  <c r="I45" s="1"/>
  <c r="E255"/>
  <c r="I255" s="1"/>
  <c r="E253"/>
  <c r="I253" s="1"/>
  <c r="AY703" i="11"/>
  <c r="AX703"/>
  <c r="AW703"/>
  <c r="AV703"/>
  <c r="AU703"/>
  <c r="AT703"/>
  <c r="AS703"/>
  <c r="AR703"/>
  <c r="AQ703"/>
  <c r="BM701" s="1"/>
  <c r="AP703"/>
  <c r="AO703"/>
  <c r="AN703"/>
  <c r="BL702" s="1"/>
  <c r="AM703"/>
  <c r="AL703"/>
  <c r="AK703"/>
  <c r="BK701" s="1"/>
  <c r="AJ703"/>
  <c r="AI703"/>
  <c r="AH703"/>
  <c r="BJ702" s="1"/>
  <c r="AG703"/>
  <c r="AF703"/>
  <c r="AE703"/>
  <c r="AD703"/>
  <c r="AC703"/>
  <c r="AB703"/>
  <c r="AA703"/>
  <c r="Z703"/>
  <c r="Y703"/>
  <c r="BG702" s="1"/>
  <c r="X703"/>
  <c r="W703"/>
  <c r="V703"/>
  <c r="U703"/>
  <c r="T703"/>
  <c r="F710" s="1"/>
  <c r="S703"/>
  <c r="R703"/>
  <c r="Q703"/>
  <c r="P703"/>
  <c r="AZ703"/>
  <c r="AZ704" s="1"/>
  <c r="BA703"/>
  <c r="BA704" s="1"/>
  <c r="BC703"/>
  <c r="BC704" s="1"/>
  <c r="F712" s="1"/>
  <c r="BB704"/>
  <c r="F697" s="1"/>
  <c r="B312" i="18"/>
  <c r="B310"/>
  <c r="B309"/>
  <c r="B308"/>
  <c r="B307"/>
  <c r="B306"/>
  <c r="E303"/>
  <c r="I303" s="1"/>
  <c r="B321" s="1"/>
  <c r="I290"/>
  <c r="I289"/>
  <c r="I288"/>
  <c r="I287"/>
  <c r="I286"/>
  <c r="I281"/>
  <c r="I280"/>
  <c r="I279"/>
  <c r="I278"/>
  <c r="I277"/>
  <c r="I276"/>
  <c r="I275"/>
  <c r="I274"/>
  <c r="E275"/>
  <c r="E276" s="1"/>
  <c r="E277" s="1"/>
  <c r="E278" s="1"/>
  <c r="E279" s="1"/>
  <c r="E280" s="1"/>
  <c r="E281" s="1"/>
  <c r="E266"/>
  <c r="I261"/>
  <c r="I259"/>
  <c r="I216"/>
  <c r="E217"/>
  <c r="I200"/>
  <c r="E201"/>
  <c r="I194"/>
  <c r="I193"/>
  <c r="I192"/>
  <c r="I191"/>
  <c r="I190"/>
  <c r="L190" s="1"/>
  <c r="I182"/>
  <c r="I181"/>
  <c r="I180"/>
  <c r="I178"/>
  <c r="I173"/>
  <c r="I171"/>
  <c r="I165"/>
  <c r="I160"/>
  <c r="I159"/>
  <c r="I157"/>
  <c r="I149"/>
  <c r="I144"/>
  <c r="I143"/>
  <c r="I142"/>
  <c r="I141"/>
  <c r="I140"/>
  <c r="I124"/>
  <c r="I103"/>
  <c r="I85"/>
  <c r="I83"/>
  <c r="I82"/>
  <c r="I72"/>
  <c r="I68"/>
  <c r="I67"/>
  <c r="I66"/>
  <c r="I32"/>
  <c r="I31"/>
  <c r="I30"/>
  <c r="I29"/>
  <c r="I28"/>
  <c r="I27"/>
  <c r="I19"/>
  <c r="I17"/>
  <c r="I16"/>
  <c r="I15"/>
  <c r="I14"/>
  <c r="I13"/>
  <c r="I12"/>
  <c r="I11"/>
  <c r="J67" i="6" l="1"/>
  <c r="R238" i="18"/>
  <c r="E69" i="6" s="1"/>
  <c r="H69" s="1"/>
  <c r="S238" i="18"/>
  <c r="I69" i="6" s="1"/>
  <c r="M238" i="18"/>
  <c r="K69" i="6" s="1"/>
  <c r="Q238" i="18"/>
  <c r="D69" i="6" s="1"/>
  <c r="R237" i="18"/>
  <c r="E68" i="6" s="1"/>
  <c r="H68" s="1"/>
  <c r="S237" i="18"/>
  <c r="I68" i="6" s="1"/>
  <c r="M237" i="18"/>
  <c r="K68" i="6" s="1"/>
  <c r="Q237" i="18"/>
  <c r="D68" i="6" s="1"/>
  <c r="L94" i="18"/>
  <c r="M94" s="1"/>
  <c r="L208"/>
  <c r="M208" s="1"/>
  <c r="I306"/>
  <c r="E312"/>
  <c r="I312" s="1"/>
  <c r="E321"/>
  <c r="E320"/>
  <c r="I320" s="1"/>
  <c r="L311" s="1"/>
  <c r="BL700" i="11"/>
  <c r="BJ700"/>
  <c r="BF700"/>
  <c r="BH700"/>
  <c r="AY704"/>
  <c r="BO701" s="1"/>
  <c r="AD704"/>
  <c r="BH702" s="1"/>
  <c r="BG701"/>
  <c r="AP704"/>
  <c r="BL701" s="1"/>
  <c r="BK702"/>
  <c r="AG704"/>
  <c r="BI700" s="1"/>
  <c r="I321" i="18"/>
  <c r="F711" i="11"/>
  <c r="F694"/>
  <c r="X704"/>
  <c r="BF702" s="1"/>
  <c r="AA704"/>
  <c r="BG700" s="1"/>
  <c r="AJ704"/>
  <c r="BJ701" s="1"/>
  <c r="AM704"/>
  <c r="BK700" s="1"/>
  <c r="AV704"/>
  <c r="BN701" s="1"/>
  <c r="AS704"/>
  <c r="BM700" s="1"/>
  <c r="BI701"/>
  <c r="I195" i="18"/>
  <c r="I73"/>
  <c r="I46"/>
  <c r="I59"/>
  <c r="I33"/>
  <c r="I291"/>
  <c r="I183"/>
  <c r="BM702" i="11"/>
  <c r="BI702"/>
  <c r="F695"/>
  <c r="E156" i="18"/>
  <c r="I156" s="1"/>
  <c r="F693" i="11"/>
  <c r="H693" s="1"/>
  <c r="BN702"/>
  <c r="BN700"/>
  <c r="BO702"/>
  <c r="BO700"/>
  <c r="F696"/>
  <c r="I20" i="18"/>
  <c r="E202"/>
  <c r="I201"/>
  <c r="E218"/>
  <c r="I217"/>
  <c r="E267"/>
  <c r="I266"/>
  <c r="I150"/>
  <c r="I152"/>
  <c r="I153"/>
  <c r="I79"/>
  <c r="I80"/>
  <c r="I97"/>
  <c r="I98"/>
  <c r="I99"/>
  <c r="L90" s="1"/>
  <c r="I100"/>
  <c r="L91" s="1"/>
  <c r="I101"/>
  <c r="L92" s="1"/>
  <c r="I102"/>
  <c r="L93" s="1"/>
  <c r="I108"/>
  <c r="I109"/>
  <c r="I110"/>
  <c r="I111"/>
  <c r="I112"/>
  <c r="I113"/>
  <c r="I115"/>
  <c r="I116"/>
  <c r="I117"/>
  <c r="I118"/>
  <c r="I120"/>
  <c r="I121"/>
  <c r="I122"/>
  <c r="I123"/>
  <c r="I128"/>
  <c r="I129"/>
  <c r="I130"/>
  <c r="I131"/>
  <c r="I132"/>
  <c r="I133"/>
  <c r="I135"/>
  <c r="I136"/>
  <c r="I137"/>
  <c r="I138"/>
  <c r="I265"/>
  <c r="I297"/>
  <c r="E298"/>
  <c r="I298" s="1"/>
  <c r="B316" s="1"/>
  <c r="E299"/>
  <c r="I299" s="1"/>
  <c r="B317" s="1"/>
  <c r="E300"/>
  <c r="I300" s="1"/>
  <c r="B318" s="1"/>
  <c r="E301"/>
  <c r="I301" s="1"/>
  <c r="B319" s="1"/>
  <c r="E307"/>
  <c r="I307" s="1"/>
  <c r="E308"/>
  <c r="I308" s="1"/>
  <c r="E309"/>
  <c r="I309" s="1"/>
  <c r="E310"/>
  <c r="I310" s="1"/>
  <c r="E316"/>
  <c r="E317"/>
  <c r="E318"/>
  <c r="E319"/>
  <c r="J68" i="6" l="1"/>
  <c r="J69"/>
  <c r="Q208" i="18"/>
  <c r="R208"/>
  <c r="L88"/>
  <c r="M88" s="1"/>
  <c r="S208"/>
  <c r="Q94"/>
  <c r="M93"/>
  <c r="S93"/>
  <c r="L89"/>
  <c r="M89" s="1"/>
  <c r="M90"/>
  <c r="S90"/>
  <c r="Q90"/>
  <c r="R90"/>
  <c r="M91"/>
  <c r="K17" i="6" s="1"/>
  <c r="R91" i="18"/>
  <c r="Q91"/>
  <c r="S91"/>
  <c r="M92"/>
  <c r="R92"/>
  <c r="S92"/>
  <c r="Q92"/>
  <c r="R93"/>
  <c r="Q93"/>
  <c r="S94"/>
  <c r="R94"/>
  <c r="L209"/>
  <c r="Q311"/>
  <c r="D90" i="6" s="1"/>
  <c r="S311" i="18"/>
  <c r="I90" i="6" s="1"/>
  <c r="R311" i="18"/>
  <c r="E90" i="6" s="1"/>
  <c r="H90" s="1"/>
  <c r="M311" i="18"/>
  <c r="K90" i="6" s="1"/>
  <c r="BF701" i="11"/>
  <c r="BH701"/>
  <c r="BS702"/>
  <c r="BU702" s="1"/>
  <c r="BS701"/>
  <c r="BU701" s="1"/>
  <c r="F715" s="1"/>
  <c r="B315" i="18"/>
  <c r="I315" s="1"/>
  <c r="BS700" i="11"/>
  <c r="BU700" s="1"/>
  <c r="F714" s="1"/>
  <c r="BP700"/>
  <c r="BR700" s="1"/>
  <c r="F699" s="1"/>
  <c r="BP702"/>
  <c r="BR702" s="1"/>
  <c r="F701" s="1"/>
  <c r="K693"/>
  <c r="E268" i="18"/>
  <c r="I267"/>
  <c r="E219"/>
  <c r="I218"/>
  <c r="E203"/>
  <c r="I202"/>
  <c r="I319"/>
  <c r="I318"/>
  <c r="I317"/>
  <c r="I316"/>
  <c r="R88" l="1"/>
  <c r="S88"/>
  <c r="Q88"/>
  <c r="Q89"/>
  <c r="R89"/>
  <c r="S89"/>
  <c r="R209"/>
  <c r="S209"/>
  <c r="Q209"/>
  <c r="M209"/>
  <c r="L210"/>
  <c r="M210" s="1"/>
  <c r="J263" i="11"/>
  <c r="J90" i="6"/>
  <c r="BP701" i="11"/>
  <c r="BR701" s="1"/>
  <c r="F700" s="1"/>
  <c r="BU703"/>
  <c r="E204" i="18"/>
  <c r="I203"/>
  <c r="E220"/>
  <c r="I219"/>
  <c r="E269"/>
  <c r="I268"/>
  <c r="L211" l="1"/>
  <c r="S211" s="1"/>
  <c r="R210"/>
  <c r="Q210"/>
  <c r="S210"/>
  <c r="BR703" i="11"/>
  <c r="E270" i="18"/>
  <c r="I269"/>
  <c r="E221"/>
  <c r="I221" s="1"/>
  <c r="I220"/>
  <c r="E205"/>
  <c r="I205" s="1"/>
  <c r="I204"/>
  <c r="L213" l="1"/>
  <c r="Q213" s="1"/>
  <c r="Q211"/>
  <c r="M211"/>
  <c r="R211"/>
  <c r="L212"/>
  <c r="E271"/>
  <c r="I270"/>
  <c r="R213" l="1"/>
  <c r="S213"/>
  <c r="M213"/>
  <c r="M212"/>
  <c r="S212"/>
  <c r="R212"/>
  <c r="Q212"/>
  <c r="E272"/>
  <c r="I272" s="1"/>
  <c r="I271"/>
  <c r="S815" i="11" l="1"/>
  <c r="R815"/>
  <c r="T815" l="1"/>
  <c r="C814" l="1"/>
  <c r="B814"/>
  <c r="B813"/>
  <c r="A813"/>
  <c r="C14" i="12" l="1"/>
  <c r="A10" i="19"/>
  <c r="L89" i="14"/>
  <c r="L88"/>
  <c r="L87"/>
  <c r="L86"/>
  <c r="L53"/>
  <c r="S159" l="1"/>
  <c r="A11" i="19"/>
  <c r="A12" s="1"/>
  <c r="L140" i="14" l="1"/>
  <c r="L137"/>
  <c r="M140" l="1"/>
  <c r="M139"/>
  <c r="M137"/>
  <c r="M53" l="1"/>
  <c r="N53"/>
  <c r="O53" s="1"/>
  <c r="P53" s="1"/>
  <c r="K35"/>
  <c r="L35" s="1"/>
  <c r="K25"/>
  <c r="N25" s="1"/>
  <c r="L23"/>
  <c r="L15"/>
  <c r="N15"/>
  <c r="B142" i="11"/>
  <c r="B132"/>
  <c r="G127"/>
  <c r="B125"/>
  <c r="C117"/>
  <c r="C102"/>
  <c r="C93"/>
  <c r="C19"/>
  <c r="B93"/>
  <c r="C59"/>
  <c r="B59"/>
  <c r="C55"/>
  <c r="B55"/>
  <c r="C42"/>
  <c r="B42"/>
  <c r="I39"/>
  <c r="I38"/>
  <c r="J34"/>
  <c r="J35" s="1"/>
  <c r="A21" i="20"/>
  <c r="A13"/>
  <c r="I40" i="11" l="1"/>
  <c r="O15" i="14"/>
  <c r="P15" s="1"/>
  <c r="M86"/>
  <c r="M87"/>
  <c r="M88"/>
  <c r="M89"/>
  <c r="M35"/>
  <c r="N35"/>
  <c r="L25"/>
  <c r="M25" s="1"/>
  <c r="M23"/>
  <c r="N23"/>
  <c r="M15"/>
  <c r="C27" i="23"/>
  <c r="D27"/>
  <c r="E27"/>
  <c r="D21"/>
  <c r="B2"/>
  <c r="B8"/>
  <c r="V52" i="14"/>
  <c r="S78" i="4"/>
  <c r="T78" s="1"/>
  <c r="K78" s="1"/>
  <c r="S79"/>
  <c r="T79" s="1"/>
  <c r="K79" s="1"/>
  <c r="S80"/>
  <c r="T80" s="1"/>
  <c r="K80" s="1"/>
  <c r="S75"/>
  <c r="T75" s="1"/>
  <c r="K75" s="1"/>
  <c r="S76"/>
  <c r="T76" s="1"/>
  <c r="K76" s="1"/>
  <c r="S77"/>
  <c r="T77" s="1"/>
  <c r="K77" s="1"/>
  <c r="S74"/>
  <c r="T74" s="1"/>
  <c r="K74" s="1"/>
  <c r="O25" i="14" l="1"/>
  <c r="P25" s="1"/>
  <c r="O35"/>
  <c r="P35" s="1"/>
  <c r="O23"/>
  <c r="P23" s="1"/>
  <c r="K20" i="22"/>
  <c r="K19"/>
  <c r="K18"/>
  <c r="K16"/>
  <c r="K15"/>
  <c r="K11"/>
  <c r="K22" l="1"/>
  <c r="K23" s="1"/>
  <c r="K25" s="1"/>
  <c r="A19" i="20"/>
  <c r="B3" i="23"/>
  <c r="C2" i="13"/>
  <c r="A3" i="6"/>
  <c r="K28" i="22" l="1"/>
  <c r="J19" i="13" s="1"/>
  <c r="K19" s="1"/>
  <c r="B28"/>
  <c r="E34"/>
  <c r="E33"/>
  <c r="N32"/>
  <c r="H32"/>
  <c r="D6" l="1"/>
  <c r="D5"/>
  <c r="Q10" i="21"/>
  <c r="R10"/>
  <c r="S10"/>
  <c r="T10"/>
  <c r="U10"/>
  <c r="Q11"/>
  <c r="R11"/>
  <c r="S11"/>
  <c r="T11"/>
  <c r="U11"/>
  <c r="Q12"/>
  <c r="R12"/>
  <c r="S12"/>
  <c r="T12"/>
  <c r="U12"/>
  <c r="Q13"/>
  <c r="R13"/>
  <c r="S13"/>
  <c r="T13"/>
  <c r="U13"/>
  <c r="Q14"/>
  <c r="R14"/>
  <c r="S14"/>
  <c r="T14"/>
  <c r="U14"/>
  <c r="Q15"/>
  <c r="R15"/>
  <c r="S15"/>
  <c r="S26" s="1"/>
  <c r="C33" s="1"/>
  <c r="T63" i="14" s="1"/>
  <c r="T15" i="21"/>
  <c r="U15"/>
  <c r="Q16"/>
  <c r="R16"/>
  <c r="R26" s="1"/>
  <c r="C32" s="1"/>
  <c r="T62" i="14" s="1"/>
  <c r="S16" i="21"/>
  <c r="T16"/>
  <c r="U16"/>
  <c r="Q17"/>
  <c r="Q26" s="1"/>
  <c r="C31" s="1"/>
  <c r="T61" i="14" s="1"/>
  <c r="R17" i="21"/>
  <c r="S17"/>
  <c r="T17"/>
  <c r="U17"/>
  <c r="Q18"/>
  <c r="R18"/>
  <c r="S18"/>
  <c r="T18"/>
  <c r="U18"/>
  <c r="Q19"/>
  <c r="R19"/>
  <c r="S19"/>
  <c r="T19"/>
  <c r="U19"/>
  <c r="Q20"/>
  <c r="R20"/>
  <c r="S20"/>
  <c r="T20"/>
  <c r="U20"/>
  <c r="Q21"/>
  <c r="R21"/>
  <c r="S21"/>
  <c r="T21"/>
  <c r="U21"/>
  <c r="Q22"/>
  <c r="R22"/>
  <c r="S22"/>
  <c r="T22"/>
  <c r="U22"/>
  <c r="Q23"/>
  <c r="R23"/>
  <c r="S23"/>
  <c r="T23"/>
  <c r="U23"/>
  <c r="Q24"/>
  <c r="R24"/>
  <c r="S24"/>
  <c r="T24"/>
  <c r="U24"/>
  <c r="Q25"/>
  <c r="R25"/>
  <c r="S25"/>
  <c r="T25"/>
  <c r="U25"/>
  <c r="R9"/>
  <c r="S9"/>
  <c r="T9"/>
  <c r="U9"/>
  <c r="U26" s="1"/>
  <c r="C35" s="1"/>
  <c r="T65" i="14" s="1"/>
  <c r="Q9" i="21"/>
  <c r="T26"/>
  <c r="C34" s="1"/>
  <c r="T64" i="14" s="1"/>
  <c r="P10" i="21"/>
  <c r="P11"/>
  <c r="P12"/>
  <c r="P13"/>
  <c r="P14"/>
  <c r="P15"/>
  <c r="P16"/>
  <c r="P17"/>
  <c r="P18"/>
  <c r="P19"/>
  <c r="P20"/>
  <c r="P21"/>
  <c r="P22"/>
  <c r="P23"/>
  <c r="P24"/>
  <c r="P25"/>
  <c r="P9"/>
  <c r="K18" l="1"/>
  <c r="O18" s="1"/>
  <c r="K17"/>
  <c r="O17" s="1"/>
  <c r="K16"/>
  <c r="O16" s="1"/>
  <c r="K15"/>
  <c r="O15" s="1"/>
  <c r="K14"/>
  <c r="O14" s="1"/>
  <c r="K13"/>
  <c r="O13" s="1"/>
  <c r="K12"/>
  <c r="O12" s="1"/>
  <c r="K11"/>
  <c r="O11" s="1"/>
  <c r="K62" i="14"/>
  <c r="K63"/>
  <c r="K65"/>
  <c r="K61"/>
  <c r="H4" i="21"/>
  <c r="A4"/>
  <c r="Y24"/>
  <c r="Y23"/>
  <c r="Y22"/>
  <c r="Y21"/>
  <c r="Y20"/>
  <c r="Y19"/>
  <c r="Y18"/>
  <c r="Y17"/>
  <c r="Y16"/>
  <c r="Y15"/>
  <c r="Y14"/>
  <c r="Y13"/>
  <c r="Y12"/>
  <c r="Y11"/>
  <c r="Y10"/>
  <c r="K10"/>
  <c r="O10" s="1"/>
  <c r="Y9"/>
  <c r="K9"/>
  <c r="O9" s="1"/>
  <c r="N16" l="1"/>
  <c r="N17"/>
  <c r="N18"/>
  <c r="O26"/>
  <c r="X38" i="14" s="1"/>
  <c r="N11" i="21"/>
  <c r="N12"/>
  <c r="N13"/>
  <c r="N14"/>
  <c r="N15"/>
  <c r="N9"/>
  <c r="N10"/>
  <c r="N26" l="1"/>
  <c r="X32" i="14" s="1"/>
  <c r="Z4" l="1"/>
  <c r="T40" l="1"/>
  <c r="K40" s="1"/>
  <c r="B1114" i="11"/>
  <c r="L87" i="4"/>
  <c r="L83"/>
  <c r="L78"/>
  <c r="L79"/>
  <c r="L80"/>
  <c r="F1136" i="11"/>
  <c r="F1153"/>
  <c r="K81" i="4"/>
  <c r="L81" s="1"/>
  <c r="F1128" i="11"/>
  <c r="F1129"/>
  <c r="F1130"/>
  <c r="F1131"/>
  <c r="F1132"/>
  <c r="F1133"/>
  <c r="F1127"/>
  <c r="F1125"/>
  <c r="F1124"/>
  <c r="F1123"/>
  <c r="F1122"/>
  <c r="F1118"/>
  <c r="F1117"/>
  <c r="H1117" s="1"/>
  <c r="L64" i="4" s="1"/>
  <c r="F1134" i="11" l="1"/>
  <c r="H1134" s="1"/>
  <c r="K82" i="4"/>
  <c r="N87" l="1"/>
  <c r="M87"/>
  <c r="P87" l="1"/>
  <c r="O87"/>
  <c r="M83"/>
  <c r="K1136" i="11"/>
  <c r="K1134"/>
  <c r="K1117"/>
  <c r="H1116"/>
  <c r="G1116"/>
  <c r="H1139" s="1"/>
  <c r="C1115" l="1"/>
  <c r="B1115"/>
  <c r="B905" l="1"/>
  <c r="B6"/>
  <c r="F1135"/>
  <c r="U63" i="4"/>
  <c r="D63" s="1"/>
  <c r="C1116" i="11" l="1"/>
  <c r="H66" i="4"/>
  <c r="X6" i="14"/>
  <c r="T24"/>
  <c r="T45"/>
  <c r="T44"/>
  <c r="B13" i="19" l="1"/>
  <c r="B14" s="1"/>
  <c r="B15" s="1"/>
  <c r="B16" s="1"/>
  <c r="B17" s="1"/>
  <c r="B18" s="1"/>
  <c r="B19" s="1"/>
  <c r="B20" s="1"/>
  <c r="B21" s="1"/>
  <c r="B22" s="1"/>
  <c r="B26" s="1"/>
  <c r="B27" s="1"/>
  <c r="B28" s="1"/>
  <c r="F28" l="1"/>
  <c r="B29"/>
  <c r="E28"/>
  <c r="S28"/>
  <c r="R28"/>
  <c r="E17"/>
  <c r="F17"/>
  <c r="R17"/>
  <c r="S17"/>
  <c r="A13"/>
  <c r="A14" s="1"/>
  <c r="A15" s="1"/>
  <c r="A16" s="1"/>
  <c r="P94" i="4"/>
  <c r="L96"/>
  <c r="M94"/>
  <c r="L94"/>
  <c r="E95"/>
  <c r="E96"/>
  <c r="D96"/>
  <c r="H94"/>
  <c r="E94"/>
  <c r="D94"/>
  <c r="S29" i="19" l="1"/>
  <c r="F29"/>
  <c r="E29"/>
  <c r="R29"/>
  <c r="B30"/>
  <c r="B31" s="1"/>
  <c r="B32" s="1"/>
  <c r="E18"/>
  <c r="F18"/>
  <c r="R18"/>
  <c r="S18"/>
  <c r="A17"/>
  <c r="A18" s="1"/>
  <c r="A19" s="1"/>
  <c r="M96" i="4"/>
  <c r="K34" i="13"/>
  <c r="M95" i="4"/>
  <c r="K33" i="13"/>
  <c r="S52" i="14"/>
  <c r="S30" i="19" l="1"/>
  <c r="E30"/>
  <c r="R30"/>
  <c r="F30"/>
  <c r="E19"/>
  <c r="F19"/>
  <c r="R19"/>
  <c r="S19"/>
  <c r="A20"/>
  <c r="I18" i="13"/>
  <c r="J18" s="1"/>
  <c r="I17"/>
  <c r="J17" s="1"/>
  <c r="I13"/>
  <c r="J13" s="1"/>
  <c r="I12"/>
  <c r="J12" s="1"/>
  <c r="F3" i="21"/>
  <c r="S31" i="19" l="1"/>
  <c r="E31"/>
  <c r="R31"/>
  <c r="F31"/>
  <c r="E20"/>
  <c r="F20"/>
  <c r="R20"/>
  <c r="S20"/>
  <c r="A21"/>
  <c r="I18" i="21"/>
  <c r="J18" s="1"/>
  <c r="M18" s="1"/>
  <c r="I10"/>
  <c r="J10" s="1"/>
  <c r="M10" s="1"/>
  <c r="I11"/>
  <c r="J11" s="1"/>
  <c r="M11" s="1"/>
  <c r="I12"/>
  <c r="J12" s="1"/>
  <c r="M12" s="1"/>
  <c r="I13"/>
  <c r="J13" s="1"/>
  <c r="M13" s="1"/>
  <c r="I14"/>
  <c r="J14" s="1"/>
  <c r="M14" s="1"/>
  <c r="I15"/>
  <c r="J15" s="1"/>
  <c r="M15" s="1"/>
  <c r="I16"/>
  <c r="J16" s="1"/>
  <c r="M16" s="1"/>
  <c r="I17"/>
  <c r="J17" s="1"/>
  <c r="M17" s="1"/>
  <c r="I9"/>
  <c r="J9" s="1"/>
  <c r="M9" s="1"/>
  <c r="L12" i="13"/>
  <c r="L13"/>
  <c r="L17"/>
  <c r="L18"/>
  <c r="T3" i="14"/>
  <c r="R11" i="19"/>
  <c r="R12"/>
  <c r="R13"/>
  <c r="R14"/>
  <c r="R15"/>
  <c r="R16"/>
  <c r="R10"/>
  <c r="E32" l="1"/>
  <c r="R32"/>
  <c r="F32"/>
  <c r="B33"/>
  <c r="S32"/>
  <c r="M26" i="21"/>
  <c r="E21" i="19"/>
  <c r="F21"/>
  <c r="R21"/>
  <c r="S21"/>
  <c r="A22"/>
  <c r="X7" i="14"/>
  <c r="C2" i="4"/>
  <c r="A5" i="19"/>
  <c r="H9"/>
  <c r="S33" l="1"/>
  <c r="E33"/>
  <c r="R33"/>
  <c r="F33"/>
  <c r="B34"/>
  <c r="X21" i="14"/>
  <c r="X22"/>
  <c r="E22" i="19"/>
  <c r="F22"/>
  <c r="R22"/>
  <c r="S22"/>
  <c r="A23"/>
  <c r="G9"/>
  <c r="F16"/>
  <c r="E16"/>
  <c r="F15"/>
  <c r="E15"/>
  <c r="F14"/>
  <c r="E14"/>
  <c r="F13"/>
  <c r="E13"/>
  <c r="F12"/>
  <c r="E12"/>
  <c r="F11"/>
  <c r="E11"/>
  <c r="F10"/>
  <c r="E10"/>
  <c r="H10"/>
  <c r="H11" s="1"/>
  <c r="H12" s="1"/>
  <c r="H13" s="1"/>
  <c r="H14" s="1"/>
  <c r="H15" s="1"/>
  <c r="H16" s="1"/>
  <c r="R34" l="1"/>
  <c r="F34"/>
  <c r="B35"/>
  <c r="S34"/>
  <c r="E34"/>
  <c r="E23"/>
  <c r="F23"/>
  <c r="R23"/>
  <c r="S23"/>
  <c r="A24"/>
  <c r="H17"/>
  <c r="I9"/>
  <c r="G10"/>
  <c r="F35" l="1"/>
  <c r="B36"/>
  <c r="S35"/>
  <c r="E35"/>
  <c r="R35"/>
  <c r="E24"/>
  <c r="F24"/>
  <c r="R24"/>
  <c r="S24"/>
  <c r="A25"/>
  <c r="H18"/>
  <c r="G11"/>
  <c r="AC10"/>
  <c r="AB10"/>
  <c r="AA10"/>
  <c r="I10"/>
  <c r="V9"/>
  <c r="N9"/>
  <c r="F36" l="1"/>
  <c r="B37"/>
  <c r="S36"/>
  <c r="E36"/>
  <c r="R36"/>
  <c r="E25"/>
  <c r="F25"/>
  <c r="R25"/>
  <c r="S25"/>
  <c r="A26"/>
  <c r="H19"/>
  <c r="W9"/>
  <c r="X9" s="1"/>
  <c r="Y9" s="1"/>
  <c r="V10"/>
  <c r="N10"/>
  <c r="G12"/>
  <c r="AC11"/>
  <c r="AB11"/>
  <c r="AA11"/>
  <c r="I11"/>
  <c r="F37" l="1"/>
  <c r="B38"/>
  <c r="R37"/>
  <c r="S37"/>
  <c r="E37"/>
  <c r="E26"/>
  <c r="F26"/>
  <c r="R26"/>
  <c r="S26"/>
  <c r="A27"/>
  <c r="A28" s="1"/>
  <c r="A29" s="1"/>
  <c r="A30" s="1"/>
  <c r="A31" s="1"/>
  <c r="A32" s="1"/>
  <c r="A33" s="1"/>
  <c r="A34" s="1"/>
  <c r="A35" s="1"/>
  <c r="A36" s="1"/>
  <c r="A37" s="1"/>
  <c r="A38" s="1"/>
  <c r="H20"/>
  <c r="V11"/>
  <c r="N11"/>
  <c r="G13"/>
  <c r="AC12"/>
  <c r="AB12"/>
  <c r="AA12"/>
  <c r="I12"/>
  <c r="W10"/>
  <c r="S38" l="1"/>
  <c r="E38"/>
  <c r="R38"/>
  <c r="F38"/>
  <c r="A39"/>
  <c r="E27"/>
  <c r="F27"/>
  <c r="R27"/>
  <c r="S27"/>
  <c r="H21"/>
  <c r="X10"/>
  <c r="Y10" s="1"/>
  <c r="Z10" s="1"/>
  <c r="V12"/>
  <c r="N12"/>
  <c r="G14"/>
  <c r="AC13"/>
  <c r="AB13"/>
  <c r="AA13"/>
  <c r="I13"/>
  <c r="W11"/>
  <c r="X11" s="1"/>
  <c r="Y11" s="1"/>
  <c r="F39" l="1"/>
  <c r="S39"/>
  <c r="E39"/>
  <c r="R39"/>
  <c r="A40"/>
  <c r="Z11"/>
  <c r="H22"/>
  <c r="V13"/>
  <c r="N13"/>
  <c r="G15"/>
  <c r="AC14"/>
  <c r="AB14"/>
  <c r="AA14"/>
  <c r="I14"/>
  <c r="W12"/>
  <c r="X12" s="1"/>
  <c r="Y12" s="1"/>
  <c r="Z12" s="1"/>
  <c r="R40" l="1"/>
  <c r="F40"/>
  <c r="A41"/>
  <c r="S40"/>
  <c r="E40"/>
  <c r="H23"/>
  <c r="V14"/>
  <c r="N14"/>
  <c r="G16"/>
  <c r="G17" s="1"/>
  <c r="AC15"/>
  <c r="AB15"/>
  <c r="AA15"/>
  <c r="I15"/>
  <c r="W13"/>
  <c r="X13" s="1"/>
  <c r="Y13" s="1"/>
  <c r="Z13" s="1"/>
  <c r="R41" l="1"/>
  <c r="F41"/>
  <c r="E41"/>
  <c r="S41"/>
  <c r="AA17"/>
  <c r="AC17"/>
  <c r="G18"/>
  <c r="AB17"/>
  <c r="I17"/>
  <c r="H24"/>
  <c r="V15"/>
  <c r="N15"/>
  <c r="AC16"/>
  <c r="AB16"/>
  <c r="AA16"/>
  <c r="I16"/>
  <c r="W14"/>
  <c r="X14" s="1"/>
  <c r="Y14" s="1"/>
  <c r="Z14" s="1"/>
  <c r="F42" l="1"/>
  <c r="S42"/>
  <c r="E42"/>
  <c r="R42"/>
  <c r="A42"/>
  <c r="A43" s="1"/>
  <c r="N17"/>
  <c r="V17"/>
  <c r="AA18"/>
  <c r="AC18"/>
  <c r="G19"/>
  <c r="AB18"/>
  <c r="I18"/>
  <c r="H25"/>
  <c r="V16"/>
  <c r="N16"/>
  <c r="W15"/>
  <c r="X15" s="1"/>
  <c r="Y15" s="1"/>
  <c r="Z15" s="1"/>
  <c r="F43" l="1"/>
  <c r="A44"/>
  <c r="S43"/>
  <c r="E43"/>
  <c r="R43"/>
  <c r="N18"/>
  <c r="V18"/>
  <c r="AA19"/>
  <c r="AC19"/>
  <c r="G20"/>
  <c r="AB19"/>
  <c r="I19"/>
  <c r="W17"/>
  <c r="X17" s="1"/>
  <c r="Y17" s="1"/>
  <c r="H26"/>
  <c r="W16"/>
  <c r="X16" s="1"/>
  <c r="Y16" s="1"/>
  <c r="R44" l="1"/>
  <c r="F44"/>
  <c r="A45"/>
  <c r="S44"/>
  <c r="E44"/>
  <c r="N19"/>
  <c r="V19"/>
  <c r="AA20"/>
  <c r="AC20"/>
  <c r="G21"/>
  <c r="AB20"/>
  <c r="I20"/>
  <c r="W18"/>
  <c r="X18" s="1"/>
  <c r="Y18" s="1"/>
  <c r="Z18" s="1"/>
  <c r="Z16"/>
  <c r="Z17"/>
  <c r="H27"/>
  <c r="H28" s="1"/>
  <c r="H29" s="1"/>
  <c r="H30" s="1"/>
  <c r="H31" s="1"/>
  <c r="H32" s="1"/>
  <c r="H33" s="1"/>
  <c r="H34" s="1"/>
  <c r="H35" s="1"/>
  <c r="H36" s="1"/>
  <c r="H37" s="1"/>
  <c r="H38" s="1"/>
  <c r="H39" s="1"/>
  <c r="H40" s="1"/>
  <c r="H41" s="1"/>
  <c r="H42" s="1"/>
  <c r="H43" s="1"/>
  <c r="H44" s="1"/>
  <c r="H45" s="1"/>
  <c r="H46" s="1"/>
  <c r="H47" s="1"/>
  <c r="H48" s="1"/>
  <c r="H49" s="1"/>
  <c r="H50" s="1"/>
  <c r="H51" s="1"/>
  <c r="H52" s="1"/>
  <c r="H53" s="1"/>
  <c r="H54" s="1"/>
  <c r="H55" s="1"/>
  <c r="H56" s="1"/>
  <c r="H57" s="1"/>
  <c r="H58" s="1"/>
  <c r="H59" s="1"/>
  <c r="H60" s="1"/>
  <c r="H61" s="1"/>
  <c r="H62" s="1"/>
  <c r="H63" s="1"/>
  <c r="H64" s="1"/>
  <c r="H65" s="1"/>
  <c r="H66" s="1"/>
  <c r="H67" s="1"/>
  <c r="H68" s="1"/>
  <c r="H69" s="1"/>
  <c r="H70" s="1"/>
  <c r="H71" s="1"/>
  <c r="H72" s="1"/>
  <c r="H73" s="1"/>
  <c r="H74" s="1"/>
  <c r="H75" s="1"/>
  <c r="H76" s="1"/>
  <c r="H77" s="1"/>
  <c r="H78" s="1"/>
  <c r="H79" s="1"/>
  <c r="H80" s="1"/>
  <c r="H81" s="1"/>
  <c r="H82" s="1"/>
  <c r="H83" s="1"/>
  <c r="H84" s="1"/>
  <c r="H85" s="1"/>
  <c r="H86" s="1"/>
  <c r="H87" s="1"/>
  <c r="H88" s="1"/>
  <c r="H89" s="1"/>
  <c r="H90" s="1"/>
  <c r="H91" s="1"/>
  <c r="H92" s="1"/>
  <c r="H93" s="1"/>
  <c r="H94" s="1"/>
  <c r="H95" s="1"/>
  <c r="H96" s="1"/>
  <c r="H97" s="1"/>
  <c r="H98" s="1"/>
  <c r="H99" s="1"/>
  <c r="H100" s="1"/>
  <c r="H101" s="1"/>
  <c r="H102" s="1"/>
  <c r="H103" s="1"/>
  <c r="H104" s="1"/>
  <c r="H105" s="1"/>
  <c r="H106" s="1"/>
  <c r="H107" s="1"/>
  <c r="H108" s="1"/>
  <c r="H109" s="1"/>
  <c r="H110" s="1"/>
  <c r="H111" s="1"/>
  <c r="H112" s="1"/>
  <c r="H113" s="1"/>
  <c r="H114" s="1"/>
  <c r="H115" s="1"/>
  <c r="H116" s="1"/>
  <c r="H117" s="1"/>
  <c r="H118" s="1"/>
  <c r="H119" s="1"/>
  <c r="H120" s="1"/>
  <c r="H121" s="1"/>
  <c r="H122" s="1"/>
  <c r="H123" s="1"/>
  <c r="H124" s="1"/>
  <c r="H125" s="1"/>
  <c r="H126" s="1"/>
  <c r="H127" s="1"/>
  <c r="H128" s="1"/>
  <c r="H129" s="1"/>
  <c r="H130" s="1"/>
  <c r="H131" s="1"/>
  <c r="H132" s="1"/>
  <c r="H133" s="1"/>
  <c r="H134" s="1"/>
  <c r="H135" s="1"/>
  <c r="H136" s="1"/>
  <c r="H137" s="1"/>
  <c r="H138" s="1"/>
  <c r="H139" s="1"/>
  <c r="H140" s="1"/>
  <c r="H141" s="1"/>
  <c r="H142" s="1"/>
  <c r="H143" s="1"/>
  <c r="H144" s="1"/>
  <c r="H145" s="1"/>
  <c r="H146" s="1"/>
  <c r="F45" l="1"/>
  <c r="A46"/>
  <c r="S45"/>
  <c r="E45"/>
  <c r="R45"/>
  <c r="N20"/>
  <c r="V20"/>
  <c r="AA21"/>
  <c r="AC21"/>
  <c r="G22"/>
  <c r="AB21"/>
  <c r="I21"/>
  <c r="W19"/>
  <c r="X19" s="1"/>
  <c r="Y19" s="1"/>
  <c r="Z19" s="1"/>
  <c r="A47" l="1"/>
  <c r="S46"/>
  <c r="E46"/>
  <c r="R46"/>
  <c r="F46"/>
  <c r="N21"/>
  <c r="V21"/>
  <c r="AA22"/>
  <c r="AC22"/>
  <c r="G23"/>
  <c r="AB22"/>
  <c r="I22"/>
  <c r="W20"/>
  <c r="X20" s="1"/>
  <c r="Y20" s="1"/>
  <c r="Z20" s="1"/>
  <c r="F47" l="1"/>
  <c r="A48"/>
  <c r="S47"/>
  <c r="E47"/>
  <c r="R47"/>
  <c r="N22"/>
  <c r="V22"/>
  <c r="AA23"/>
  <c r="AC23"/>
  <c r="G24"/>
  <c r="AB23"/>
  <c r="I23"/>
  <c r="W21"/>
  <c r="X21" s="1"/>
  <c r="Y21" s="1"/>
  <c r="Z21" s="1"/>
  <c r="K24" i="14"/>
  <c r="T46"/>
  <c r="K46" s="1"/>
  <c r="F48" i="19" l="1"/>
  <c r="S48"/>
  <c r="E48"/>
  <c r="R48"/>
  <c r="N23"/>
  <c r="V23"/>
  <c r="AA24"/>
  <c r="AC24"/>
  <c r="G25"/>
  <c r="AB24"/>
  <c r="I24"/>
  <c r="W22"/>
  <c r="X22" s="1"/>
  <c r="Y22" s="1"/>
  <c r="Z22" s="1"/>
  <c r="K44" i="14"/>
  <c r="K45"/>
  <c r="F1081" i="11"/>
  <c r="K1084"/>
  <c r="K1085"/>
  <c r="A49" i="19" l="1"/>
  <c r="R49"/>
  <c r="F49"/>
  <c r="S49"/>
  <c r="E49"/>
  <c r="F1082" i="11"/>
  <c r="H1081"/>
  <c r="K1081" s="1"/>
  <c r="N24" i="19"/>
  <c r="V24"/>
  <c r="AA25"/>
  <c r="AC25"/>
  <c r="G26"/>
  <c r="AB25"/>
  <c r="I25"/>
  <c r="W23"/>
  <c r="X23" s="1"/>
  <c r="Y23" s="1"/>
  <c r="Z23" s="1"/>
  <c r="F1055" i="11"/>
  <c r="H1055" s="1"/>
  <c r="F1038"/>
  <c r="H1038" s="1"/>
  <c r="K1037"/>
  <c r="A50" i="19" l="1"/>
  <c r="A51" s="1"/>
  <c r="R50"/>
  <c r="E50"/>
  <c r="F50"/>
  <c r="S50"/>
  <c r="N25"/>
  <c r="V25"/>
  <c r="AA26"/>
  <c r="AC26"/>
  <c r="G27"/>
  <c r="G28" s="1"/>
  <c r="AB26"/>
  <c r="I26"/>
  <c r="W24"/>
  <c r="X24" s="1"/>
  <c r="Y24" s="1"/>
  <c r="Z24" s="1"/>
  <c r="L28" i="4"/>
  <c r="L29"/>
  <c r="L30"/>
  <c r="L33"/>
  <c r="F1025" i="11"/>
  <c r="H1025" s="1"/>
  <c r="A52" i="19" l="1"/>
  <c r="S51"/>
  <c r="E51"/>
  <c r="R51"/>
  <c r="F51"/>
  <c r="I28"/>
  <c r="AC28"/>
  <c r="AB28"/>
  <c r="AA28"/>
  <c r="G29"/>
  <c r="N26"/>
  <c r="V26"/>
  <c r="AA27"/>
  <c r="AC27"/>
  <c r="AB27"/>
  <c r="I27"/>
  <c r="W25"/>
  <c r="X25" s="1"/>
  <c r="Y25" s="1"/>
  <c r="Z25" s="1"/>
  <c r="F1009" i="11"/>
  <c r="H1009" s="1"/>
  <c r="S52" i="19" l="1"/>
  <c r="E52"/>
  <c r="R52"/>
  <c r="F52"/>
  <c r="A53"/>
  <c r="AC29"/>
  <c r="I29"/>
  <c r="G30"/>
  <c r="AA29"/>
  <c r="AB29"/>
  <c r="V28"/>
  <c r="N28"/>
  <c r="N27"/>
  <c r="V27"/>
  <c r="W26"/>
  <c r="X26" s="1"/>
  <c r="Y26" s="1"/>
  <c r="Z26" s="1"/>
  <c r="F977" i="11"/>
  <c r="H977" s="1"/>
  <c r="K1481"/>
  <c r="K1476"/>
  <c r="K1451"/>
  <c r="I1258"/>
  <c r="K1243"/>
  <c r="K1233"/>
  <c r="K1223"/>
  <c r="K1213"/>
  <c r="K1203"/>
  <c r="K1193"/>
  <c r="L287" i="18"/>
  <c r="M290"/>
  <c r="L290"/>
  <c r="M289"/>
  <c r="L289"/>
  <c r="M288"/>
  <c r="L288"/>
  <c r="M287"/>
  <c r="M286"/>
  <c r="L272"/>
  <c r="L269"/>
  <c r="L267"/>
  <c r="L265"/>
  <c r="H73" i="6"/>
  <c r="L255" i="18"/>
  <c r="M194"/>
  <c r="L194"/>
  <c r="M193"/>
  <c r="L193"/>
  <c r="M192"/>
  <c r="L192"/>
  <c r="M191"/>
  <c r="L191"/>
  <c r="M190"/>
  <c r="M182"/>
  <c r="L182"/>
  <c r="M181"/>
  <c r="L181"/>
  <c r="M180"/>
  <c r="L180"/>
  <c r="M179"/>
  <c r="L179"/>
  <c r="M178"/>
  <c r="L167"/>
  <c r="L165"/>
  <c r="W28" i="19" l="1"/>
  <c r="X28" s="1"/>
  <c r="Y28" s="1"/>
  <c r="I30"/>
  <c r="G31"/>
  <c r="AA30"/>
  <c r="AB30"/>
  <c r="AC30"/>
  <c r="S53"/>
  <c r="F53"/>
  <c r="R53"/>
  <c r="E53"/>
  <c r="V29"/>
  <c r="N29"/>
  <c r="W27"/>
  <c r="X27" s="1"/>
  <c r="Y27" s="1"/>
  <c r="L266" i="18"/>
  <c r="S266" s="1"/>
  <c r="I76" i="6" s="1"/>
  <c r="L268" i="18"/>
  <c r="Q268" s="1"/>
  <c r="D78" i="6" s="1"/>
  <c r="L270" i="18"/>
  <c r="S270" s="1"/>
  <c r="I80" i="6" s="1"/>
  <c r="L271" i="18"/>
  <c r="Q271" s="1"/>
  <c r="D81" i="6" s="1"/>
  <c r="L291" i="18"/>
  <c r="L286"/>
  <c r="S265"/>
  <c r="I75" i="6" s="1"/>
  <c r="R265" i="18"/>
  <c r="E75" i="6" s="1"/>
  <c r="H75" s="1"/>
  <c r="Q265" i="18"/>
  <c r="D75" i="6" s="1"/>
  <c r="M265" i="18"/>
  <c r="K75" i="6" s="1"/>
  <c r="M267" i="18"/>
  <c r="K77" i="6" s="1"/>
  <c r="Q267" i="18"/>
  <c r="D77" i="6" s="1"/>
  <c r="R267" i="18"/>
  <c r="E77" i="6" s="1"/>
  <c r="H77" s="1"/>
  <c r="S267" i="18"/>
  <c r="I77" i="6" s="1"/>
  <c r="M269" i="18"/>
  <c r="K79" i="6" s="1"/>
  <c r="Q269" i="18"/>
  <c r="D79" i="6" s="1"/>
  <c r="R269" i="18"/>
  <c r="E79" i="6" s="1"/>
  <c r="H79" s="1"/>
  <c r="S269" i="18"/>
  <c r="I79" i="6" s="1"/>
  <c r="M272" i="18"/>
  <c r="K82" i="6" s="1"/>
  <c r="Q272" i="18"/>
  <c r="D82" i="6" s="1"/>
  <c r="R272" i="18"/>
  <c r="E82" i="6" s="1"/>
  <c r="H82" s="1"/>
  <c r="S272" i="18"/>
  <c r="I82" i="6" s="1"/>
  <c r="L149" i="18"/>
  <c r="S149" s="1"/>
  <c r="I46" i="6" s="1"/>
  <c r="L152" i="18"/>
  <c r="R152" s="1"/>
  <c r="E49" i="6" s="1"/>
  <c r="H49" s="1"/>
  <c r="L153" i="18"/>
  <c r="S153" s="1"/>
  <c r="I50" i="6" s="1"/>
  <c r="L253" i="18"/>
  <c r="S253" s="1"/>
  <c r="I71" i="6" s="1"/>
  <c r="S255" i="18"/>
  <c r="I72" i="6" s="1"/>
  <c r="M255" i="18"/>
  <c r="K72" i="6" s="1"/>
  <c r="R255" i="18"/>
  <c r="Q255"/>
  <c r="D72" i="6" s="1"/>
  <c r="L195" i="18"/>
  <c r="L183"/>
  <c r="L178"/>
  <c r="S167"/>
  <c r="I53" i="6" s="1"/>
  <c r="S165" i="18"/>
  <c r="I52" i="6" s="1"/>
  <c r="R165" i="18"/>
  <c r="E52" i="6" s="1"/>
  <c r="H52" s="1"/>
  <c r="Q165" i="18"/>
  <c r="D52" i="6" s="1"/>
  <c r="M165" i="18"/>
  <c r="K52" i="6" s="1"/>
  <c r="M167" i="18"/>
  <c r="K53" i="6" s="1"/>
  <c r="Q167" i="18"/>
  <c r="D53" i="6" s="1"/>
  <c r="R167" i="18"/>
  <c r="E53" i="6" s="1"/>
  <c r="H53" s="1"/>
  <c r="W29" i="19" l="1"/>
  <c r="X29" s="1"/>
  <c r="Y29" s="1"/>
  <c r="Z29" s="1"/>
  <c r="S54"/>
  <c r="E54"/>
  <c r="R54"/>
  <c r="F54"/>
  <c r="I31"/>
  <c r="G32"/>
  <c r="AA31"/>
  <c r="AB31"/>
  <c r="AC31"/>
  <c r="A54"/>
  <c r="N30"/>
  <c r="V30"/>
  <c r="Z27"/>
  <c r="Z28"/>
  <c r="M268" i="18"/>
  <c r="K78" i="6" s="1"/>
  <c r="R268" i="18"/>
  <c r="E78" i="6" s="1"/>
  <c r="H78" s="1"/>
  <c r="R266" i="18"/>
  <c r="E76" i="6" s="1"/>
  <c r="H76" s="1"/>
  <c r="R271" i="18"/>
  <c r="E81" i="6" s="1"/>
  <c r="H81" s="1"/>
  <c r="M271" i="18"/>
  <c r="K81" i="6" s="1"/>
  <c r="M266" i="18"/>
  <c r="K76" i="6" s="1"/>
  <c r="Q266" i="18"/>
  <c r="D76" i="6" s="1"/>
  <c r="J76" s="1"/>
  <c r="R270" i="18"/>
  <c r="E80" i="6" s="1"/>
  <c r="H80" s="1"/>
  <c r="S152" i="18"/>
  <c r="I49" i="6" s="1"/>
  <c r="Q152" i="18"/>
  <c r="D49" i="6" s="1"/>
  <c r="Q270" i="18"/>
  <c r="D80" i="6" s="1"/>
  <c r="J80" s="1"/>
  <c r="Q253" i="18"/>
  <c r="D71" i="6" s="1"/>
  <c r="M253" i="18"/>
  <c r="K71" i="6" s="1"/>
  <c r="M270" i="18"/>
  <c r="K80" i="6" s="1"/>
  <c r="R253" i="18"/>
  <c r="E71" i="6" s="1"/>
  <c r="H71" s="1"/>
  <c r="J53"/>
  <c r="H1027" i="11" s="1"/>
  <c r="J52" i="6"/>
  <c r="M153" i="18"/>
  <c r="K50" i="6" s="1"/>
  <c r="J75"/>
  <c r="S271" i="18"/>
  <c r="I81" i="6" s="1"/>
  <c r="J81" s="1"/>
  <c r="S268" i="18"/>
  <c r="I78" i="6" s="1"/>
  <c r="J78" s="1"/>
  <c r="M149" i="18"/>
  <c r="K46" i="6" s="1"/>
  <c r="R153" i="18"/>
  <c r="E50" i="6" s="1"/>
  <c r="H50" s="1"/>
  <c r="R149" i="18"/>
  <c r="E46" i="6" s="1"/>
  <c r="H46" s="1"/>
  <c r="M152" i="18"/>
  <c r="K49" i="6" s="1"/>
  <c r="Q153" i="18"/>
  <c r="D50" i="6" s="1"/>
  <c r="J50" s="1"/>
  <c r="Q149" i="18"/>
  <c r="D46" i="6" s="1"/>
  <c r="J46" s="1"/>
  <c r="M291" i="18"/>
  <c r="J82" i="6"/>
  <c r="J79"/>
  <c r="J77"/>
  <c r="M183" i="18"/>
  <c r="M195"/>
  <c r="AC32" i="19" l="1"/>
  <c r="I32"/>
  <c r="G33"/>
  <c r="AA32"/>
  <c r="AB32"/>
  <c r="A55"/>
  <c r="W30"/>
  <c r="X30" s="1"/>
  <c r="Y30" s="1"/>
  <c r="Z30" s="1"/>
  <c r="F55"/>
  <c r="S55"/>
  <c r="E55"/>
  <c r="R55"/>
  <c r="V31"/>
  <c r="N31"/>
  <c r="J71" i="6"/>
  <c r="J264" i="11"/>
  <c r="J49" i="6"/>
  <c r="H197" i="18"/>
  <c r="I55" i="6" s="1"/>
  <c r="E197" i="18"/>
  <c r="E55" i="6" s="1"/>
  <c r="H55" s="1"/>
  <c r="B197" i="18"/>
  <c r="D55" i="6" s="1"/>
  <c r="C196" i="18"/>
  <c r="K55" i="6" s="1"/>
  <c r="H185" i="18"/>
  <c r="I54" i="6" s="1"/>
  <c r="E185" i="18"/>
  <c r="E54" i="6" s="1"/>
  <c r="H54" s="1"/>
  <c r="B185" i="18"/>
  <c r="D54" i="6" s="1"/>
  <c r="C184" i="18"/>
  <c r="K54" i="6" s="1"/>
  <c r="H293" i="18"/>
  <c r="I83" i="6" s="1"/>
  <c r="E293" i="18"/>
  <c r="E83" i="6" s="1"/>
  <c r="H83" s="1"/>
  <c r="B293" i="18"/>
  <c r="D83" i="6" s="1"/>
  <c r="C292" i="18"/>
  <c r="K83" i="6" s="1"/>
  <c r="W31" i="19" l="1"/>
  <c r="X31" s="1"/>
  <c r="Y31" s="1"/>
  <c r="Z31" s="1"/>
  <c r="F56"/>
  <c r="E56"/>
  <c r="S56"/>
  <c r="R56"/>
  <c r="V32"/>
  <c r="N32"/>
  <c r="A56"/>
  <c r="A57" s="1"/>
  <c r="I33"/>
  <c r="G34"/>
  <c r="AB33"/>
  <c r="AC33"/>
  <c r="AA33"/>
  <c r="J83" i="6"/>
  <c r="H939" i="11" s="1"/>
  <c r="J55" i="6"/>
  <c r="H1478" i="11" s="1"/>
  <c r="H1135"/>
  <c r="K1135" s="1"/>
  <c r="H822"/>
  <c r="L82" i="4"/>
  <c r="J54" i="6"/>
  <c r="H1082" i="11"/>
  <c r="K1082" s="1"/>
  <c r="H1026"/>
  <c r="K57" i="6"/>
  <c r="I57"/>
  <c r="J57" s="1"/>
  <c r="E57"/>
  <c r="H57" s="1"/>
  <c r="M72" i="18"/>
  <c r="M68"/>
  <c r="M67"/>
  <c r="M66"/>
  <c r="L67"/>
  <c r="M58"/>
  <c r="M57"/>
  <c r="M56"/>
  <c r="M55"/>
  <c r="M54"/>
  <c r="M53"/>
  <c r="L54"/>
  <c r="M45"/>
  <c r="M44"/>
  <c r="M43"/>
  <c r="M42"/>
  <c r="M41"/>
  <c r="M40"/>
  <c r="L40"/>
  <c r="L41"/>
  <c r="M32"/>
  <c r="M31"/>
  <c r="M30"/>
  <c r="M29"/>
  <c r="M28"/>
  <c r="M27"/>
  <c r="L27"/>
  <c r="L28"/>
  <c r="L19"/>
  <c r="M12"/>
  <c r="M13"/>
  <c r="M14"/>
  <c r="M15"/>
  <c r="M16"/>
  <c r="M17"/>
  <c r="M19"/>
  <c r="M11"/>
  <c r="L16"/>
  <c r="L13"/>
  <c r="L14"/>
  <c r="L17"/>
  <c r="L15"/>
  <c r="L11"/>
  <c r="L12"/>
  <c r="W32" i="19" l="1"/>
  <c r="X32" s="1"/>
  <c r="Y32" s="1"/>
  <c r="Z32" s="1"/>
  <c r="R57"/>
  <c r="E57"/>
  <c r="S57"/>
  <c r="F57"/>
  <c r="N33"/>
  <c r="V33"/>
  <c r="G35"/>
  <c r="AA34"/>
  <c r="AC34"/>
  <c r="I34"/>
  <c r="AB34"/>
  <c r="H1445" i="11"/>
  <c r="H940"/>
  <c r="H1446"/>
  <c r="H1462"/>
  <c r="H1463"/>
  <c r="H1475"/>
  <c r="K1475" s="1"/>
  <c r="H1477"/>
  <c r="K1477" s="1"/>
  <c r="H938"/>
  <c r="H1465"/>
  <c r="H1448"/>
  <c r="K1448" s="1"/>
  <c r="H943"/>
  <c r="L150" i="18"/>
  <c r="L20"/>
  <c r="M20" s="1"/>
  <c r="L306"/>
  <c r="Q306" s="1"/>
  <c r="D85" i="6" s="1"/>
  <c r="H824" i="11" s="1"/>
  <c r="V34" i="19" l="1"/>
  <c r="N34"/>
  <c r="W33"/>
  <c r="X33" s="1"/>
  <c r="Y33" s="1"/>
  <c r="Z33" s="1"/>
  <c r="R58"/>
  <c r="S58"/>
  <c r="E58"/>
  <c r="F58"/>
  <c r="AC35"/>
  <c r="AA35"/>
  <c r="I35"/>
  <c r="G36"/>
  <c r="AB35"/>
  <c r="A58"/>
  <c r="A59" s="1"/>
  <c r="H22" i="18"/>
  <c r="E22"/>
  <c r="B22"/>
  <c r="C21"/>
  <c r="M306"/>
  <c r="K85" i="6" s="1"/>
  <c r="S150" i="18"/>
  <c r="I47" i="6" s="1"/>
  <c r="R150" i="18"/>
  <c r="E47" i="6" s="1"/>
  <c r="H47" s="1"/>
  <c r="Q150" i="18"/>
  <c r="D47" i="6" s="1"/>
  <c r="M150" i="18"/>
  <c r="K47" i="6" s="1"/>
  <c r="S306" i="18"/>
  <c r="I85" i="6" s="1"/>
  <c r="J85" s="1"/>
  <c r="R306" i="18"/>
  <c r="E85" i="6" s="1"/>
  <c r="H85" s="1"/>
  <c r="R59" i="19" l="1"/>
  <c r="S59"/>
  <c r="A60"/>
  <c r="E59"/>
  <c r="F59"/>
  <c r="V35"/>
  <c r="N35"/>
  <c r="AB36"/>
  <c r="AC36"/>
  <c r="AA36"/>
  <c r="I36"/>
  <c r="G37"/>
  <c r="W34"/>
  <c r="X34" s="1"/>
  <c r="Y34" s="1"/>
  <c r="Z34" s="1"/>
  <c r="J47" i="6"/>
  <c r="A5" i="11"/>
  <c r="C4"/>
  <c r="A4" i="6" s="1"/>
  <c r="L108" i="18"/>
  <c r="L68"/>
  <c r="L72"/>
  <c r="L66"/>
  <c r="L55"/>
  <c r="L56"/>
  <c r="L57"/>
  <c r="L58"/>
  <c r="L53"/>
  <c r="L42"/>
  <c r="L43"/>
  <c r="L44"/>
  <c r="L45"/>
  <c r="L29"/>
  <c r="L30"/>
  <c r="L31"/>
  <c r="L32"/>
  <c r="W35" i="19" l="1"/>
  <c r="X35" s="1"/>
  <c r="Y35" s="1"/>
  <c r="Z35" s="1"/>
  <c r="V36"/>
  <c r="N36"/>
  <c r="R60"/>
  <c r="F60"/>
  <c r="E60"/>
  <c r="S60"/>
  <c r="AC37"/>
  <c r="I37"/>
  <c r="G38"/>
  <c r="AA37"/>
  <c r="AB37"/>
  <c r="R108" i="18"/>
  <c r="Q108"/>
  <c r="D57" i="6"/>
  <c r="S108" i="18"/>
  <c r="I28" i="6" s="1"/>
  <c r="L73" i="18"/>
  <c r="M73" s="1"/>
  <c r="L59"/>
  <c r="M59" s="1"/>
  <c r="L46"/>
  <c r="M46" s="1"/>
  <c r="L33"/>
  <c r="M33" s="1"/>
  <c r="I17" i="6"/>
  <c r="H113" i="11" s="1"/>
  <c r="M108" i="18"/>
  <c r="K28" i="6" s="1"/>
  <c r="K11"/>
  <c r="I11"/>
  <c r="E11"/>
  <c r="H11" s="1"/>
  <c r="F61" i="19" l="1"/>
  <c r="R61"/>
  <c r="S61"/>
  <c r="E61"/>
  <c r="W36"/>
  <c r="X36" s="1"/>
  <c r="Y36" s="1"/>
  <c r="Z36" s="1"/>
  <c r="A61"/>
  <c r="V37"/>
  <c r="N37"/>
  <c r="AA38"/>
  <c r="AB38"/>
  <c r="AC38"/>
  <c r="I38"/>
  <c r="G39"/>
  <c r="E17" i="6"/>
  <c r="D113" i="11" s="1"/>
  <c r="H35" i="18"/>
  <c r="I12" i="6" s="1"/>
  <c r="E35" i="18"/>
  <c r="E12" i="6" s="1"/>
  <c r="H12" s="1"/>
  <c r="B35" i="18"/>
  <c r="D12" i="6" s="1"/>
  <c r="C34" i="18"/>
  <c r="K12" i="6" s="1"/>
  <c r="H48" i="18"/>
  <c r="I13" i="6" s="1"/>
  <c r="E48" i="18"/>
  <c r="E13" i="6" s="1"/>
  <c r="H13" s="1"/>
  <c r="B48" i="18"/>
  <c r="D13" i="6" s="1"/>
  <c r="C47" i="18"/>
  <c r="K13" i="6" s="1"/>
  <c r="H61" i="18"/>
  <c r="I14" i="6" s="1"/>
  <c r="E61" i="18"/>
  <c r="E14" i="6" s="1"/>
  <c r="H14" s="1"/>
  <c r="B61" i="18"/>
  <c r="D14" i="6" s="1"/>
  <c r="C60" i="18"/>
  <c r="K14" i="6" s="1"/>
  <c r="H75" i="18"/>
  <c r="I15" i="6" s="1"/>
  <c r="E75" i="18"/>
  <c r="E15" i="6" s="1"/>
  <c r="H15" s="1"/>
  <c r="B75" i="18"/>
  <c r="D15" i="6" s="1"/>
  <c r="C74" i="18"/>
  <c r="K15" i="6" s="1"/>
  <c r="K60"/>
  <c r="K58"/>
  <c r="E28"/>
  <c r="H28" s="1"/>
  <c r="K59"/>
  <c r="D28"/>
  <c r="H112" i="11"/>
  <c r="H114" s="1"/>
  <c r="H115" s="1"/>
  <c r="I59" i="6"/>
  <c r="D11"/>
  <c r="V38" i="19" l="1"/>
  <c r="N38"/>
  <c r="AB39"/>
  <c r="AC39"/>
  <c r="I39"/>
  <c r="G40"/>
  <c r="AA39"/>
  <c r="W37"/>
  <c r="X37" s="1"/>
  <c r="Y37" s="1"/>
  <c r="Z37" s="1"/>
  <c r="E62"/>
  <c r="F62"/>
  <c r="R62"/>
  <c r="S62"/>
  <c r="A62"/>
  <c r="J14" i="6"/>
  <c r="J13"/>
  <c r="H17"/>
  <c r="I58"/>
  <c r="D60"/>
  <c r="E58"/>
  <c r="H58" s="1"/>
  <c r="I60"/>
  <c r="D58"/>
  <c r="E60"/>
  <c r="H60" s="1"/>
  <c r="J17"/>
  <c r="K62"/>
  <c r="E59"/>
  <c r="H59" s="1"/>
  <c r="D59"/>
  <c r="J59" s="1"/>
  <c r="D61"/>
  <c r="K61"/>
  <c r="E61"/>
  <c r="H61" s="1"/>
  <c r="I61"/>
  <c r="S63" i="19" l="1"/>
  <c r="E63"/>
  <c r="F63"/>
  <c r="R63"/>
  <c r="G41"/>
  <c r="AA40"/>
  <c r="AB40"/>
  <c r="AC40"/>
  <c r="I40"/>
  <c r="V39"/>
  <c r="N39"/>
  <c r="W38"/>
  <c r="X38" s="1"/>
  <c r="Y38" s="1"/>
  <c r="Z38" s="1"/>
  <c r="A63"/>
  <c r="D62" i="6"/>
  <c r="I62"/>
  <c r="J58"/>
  <c r="J60"/>
  <c r="E62"/>
  <c r="H62" s="1"/>
  <c r="J61"/>
  <c r="W39" i="19" l="1"/>
  <c r="X39" s="1"/>
  <c r="Y39" s="1"/>
  <c r="Z39" s="1"/>
  <c r="V40"/>
  <c r="N40"/>
  <c r="G42"/>
  <c r="AA41"/>
  <c r="AB41"/>
  <c r="I41"/>
  <c r="AC41"/>
  <c r="A64"/>
  <c r="F64"/>
  <c r="E64"/>
  <c r="R64"/>
  <c r="S64"/>
  <c r="J62" i="6"/>
  <c r="F960" i="11"/>
  <c r="K959"/>
  <c r="K933"/>
  <c r="L17" i="4" s="1"/>
  <c r="K928" i="11"/>
  <c r="K929" s="1"/>
  <c r="A65" i="19" l="1"/>
  <c r="I42"/>
  <c r="G43"/>
  <c r="AA42"/>
  <c r="AB42"/>
  <c r="AC42"/>
  <c r="W40"/>
  <c r="X40" s="1"/>
  <c r="Y40" s="1"/>
  <c r="Z40" s="1"/>
  <c r="E65"/>
  <c r="F65"/>
  <c r="R65"/>
  <c r="S65"/>
  <c r="V41"/>
  <c r="N41"/>
  <c r="F961" i="11"/>
  <c r="H960"/>
  <c r="L18" i="4"/>
  <c r="W41" i="19" l="1"/>
  <c r="X41" s="1"/>
  <c r="Y41" s="1"/>
  <c r="Z41" s="1"/>
  <c r="V42"/>
  <c r="N42"/>
  <c r="AA43"/>
  <c r="AB43"/>
  <c r="AC43"/>
  <c r="I43"/>
  <c r="G44"/>
  <c r="S66"/>
  <c r="E66"/>
  <c r="R66"/>
  <c r="F66"/>
  <c r="A66"/>
  <c r="A67" s="1"/>
  <c r="C908" i="11"/>
  <c r="C907"/>
  <c r="H910"/>
  <c r="G910"/>
  <c r="D7" i="14"/>
  <c r="F911" i="11" l="1"/>
  <c r="F912"/>
  <c r="N43" i="19"/>
  <c r="V43"/>
  <c r="W42"/>
  <c r="X42" s="1"/>
  <c r="Y42" s="1"/>
  <c r="Z42" s="1"/>
  <c r="F67"/>
  <c r="S67"/>
  <c r="E67"/>
  <c r="R67"/>
  <c r="AB44"/>
  <c r="AC44"/>
  <c r="I44"/>
  <c r="G45"/>
  <c r="AA44"/>
  <c r="A68"/>
  <c r="P898" i="11"/>
  <c r="AC45" i="19" l="1"/>
  <c r="I45"/>
  <c r="G46"/>
  <c r="AA45"/>
  <c r="AB45"/>
  <c r="S68"/>
  <c r="E68"/>
  <c r="R68"/>
  <c r="F68"/>
  <c r="W43"/>
  <c r="X43" s="1"/>
  <c r="Y43" s="1"/>
  <c r="Z43" s="1"/>
  <c r="V44"/>
  <c r="N44"/>
  <c r="A69"/>
  <c r="F898" i="11"/>
  <c r="K898" s="1"/>
  <c r="P899"/>
  <c r="F899" s="1"/>
  <c r="W44" i="19" l="1"/>
  <c r="X44" s="1"/>
  <c r="Y44" s="1"/>
  <c r="Z44" s="1"/>
  <c r="A70"/>
  <c r="S69"/>
  <c r="E69"/>
  <c r="F69"/>
  <c r="R69"/>
  <c r="N45"/>
  <c r="V45"/>
  <c r="G47"/>
  <c r="AA46"/>
  <c r="AB46"/>
  <c r="AC46"/>
  <c r="I46"/>
  <c r="P897" i="11"/>
  <c r="F897" s="1"/>
  <c r="P896"/>
  <c r="F896" s="1"/>
  <c r="P895"/>
  <c r="F895" s="1"/>
  <c r="P885"/>
  <c r="F885" s="1"/>
  <c r="T892"/>
  <c r="W892" s="1"/>
  <c r="F892" s="1"/>
  <c r="Q891"/>
  <c r="W891" s="1"/>
  <c r="F891" s="1"/>
  <c r="V890"/>
  <c r="S890"/>
  <c r="R890"/>
  <c r="P890"/>
  <c r="Q889"/>
  <c r="P889"/>
  <c r="U888"/>
  <c r="W888" s="1"/>
  <c r="F888" s="1"/>
  <c r="S887"/>
  <c r="W887" s="1"/>
  <c r="F887" s="1"/>
  <c r="W45" i="19" l="1"/>
  <c r="X45" s="1"/>
  <c r="Y45" s="1"/>
  <c r="Z45" s="1"/>
  <c r="V46"/>
  <c r="N46"/>
  <c r="AB47"/>
  <c r="AC47"/>
  <c r="I47"/>
  <c r="G48"/>
  <c r="AA47"/>
  <c r="E70"/>
  <c r="R70"/>
  <c r="F70"/>
  <c r="S70"/>
  <c r="W889" i="11"/>
  <c r="F889" s="1"/>
  <c r="W890"/>
  <c r="F890" s="1"/>
  <c r="K883"/>
  <c r="P883" s="1"/>
  <c r="P884" s="1"/>
  <c r="F884" s="1"/>
  <c r="I48" i="19" l="1"/>
  <c r="G49"/>
  <c r="AB48"/>
  <c r="AC48"/>
  <c r="AA48"/>
  <c r="F71"/>
  <c r="S71"/>
  <c r="E71"/>
  <c r="R71"/>
  <c r="V47"/>
  <c r="N47"/>
  <c r="W46"/>
  <c r="X46" s="1"/>
  <c r="Y46" s="1"/>
  <c r="Z46" s="1"/>
  <c r="A71"/>
  <c r="A72" s="1"/>
  <c r="F893" i="11"/>
  <c r="H893" s="1"/>
  <c r="W893"/>
  <c r="S818"/>
  <c r="Q818"/>
  <c r="P816"/>
  <c r="R818"/>
  <c r="V48" i="19" l="1"/>
  <c r="N48"/>
  <c r="I49"/>
  <c r="G50"/>
  <c r="AA49"/>
  <c r="AB49"/>
  <c r="AC49"/>
  <c r="W47"/>
  <c r="X47" s="1"/>
  <c r="Y47" s="1"/>
  <c r="Z47" s="1"/>
  <c r="S72"/>
  <c r="E72"/>
  <c r="R72"/>
  <c r="F72"/>
  <c r="F894" i="11"/>
  <c r="S816"/>
  <c r="R816"/>
  <c r="Q816"/>
  <c r="F815"/>
  <c r="P817"/>
  <c r="S817" s="1"/>
  <c r="F73" i="19" l="1"/>
  <c r="S73"/>
  <c r="E73"/>
  <c r="R73"/>
  <c r="V49"/>
  <c r="N49"/>
  <c r="A73"/>
  <c r="I50"/>
  <c r="G51"/>
  <c r="AA50"/>
  <c r="AB50"/>
  <c r="AC50"/>
  <c r="W48"/>
  <c r="X48" s="1"/>
  <c r="Y48" s="1"/>
  <c r="Z48" s="1"/>
  <c r="T816" i="11"/>
  <c r="F816" s="1"/>
  <c r="P818"/>
  <c r="T818" s="1"/>
  <c r="F818" s="1"/>
  <c r="R817"/>
  <c r="Q817"/>
  <c r="L70" i="14"/>
  <c r="L69"/>
  <c r="L68"/>
  <c r="A74" i="19" l="1"/>
  <c r="A75" s="1"/>
  <c r="AB51"/>
  <c r="I51"/>
  <c r="G52"/>
  <c r="AA51"/>
  <c r="AC51"/>
  <c r="F74"/>
  <c r="S74"/>
  <c r="E74"/>
  <c r="R74"/>
  <c r="N50"/>
  <c r="V50"/>
  <c r="W49"/>
  <c r="X49" s="1"/>
  <c r="Y49" s="1"/>
  <c r="Z49" s="1"/>
  <c r="P820" i="11"/>
  <c r="P823" s="1"/>
  <c r="R823" s="1"/>
  <c r="T823" s="1"/>
  <c r="F823" s="1"/>
  <c r="T817"/>
  <c r="F817" s="1"/>
  <c r="P824"/>
  <c r="R824" s="1"/>
  <c r="U650"/>
  <c r="U651"/>
  <c r="U652"/>
  <c r="U653"/>
  <c r="U649"/>
  <c r="T650"/>
  <c r="T651"/>
  <c r="T652"/>
  <c r="T653"/>
  <c r="T649"/>
  <c r="S650"/>
  <c r="S651"/>
  <c r="S652"/>
  <c r="S653"/>
  <c r="S649"/>
  <c r="Q650"/>
  <c r="Q651"/>
  <c r="Q652"/>
  <c r="Q653"/>
  <c r="Q649"/>
  <c r="Y650"/>
  <c r="R650" s="1"/>
  <c r="Y651"/>
  <c r="R651" s="1"/>
  <c r="Y652"/>
  <c r="R652" s="1"/>
  <c r="Y653"/>
  <c r="R653" s="1"/>
  <c r="Y649"/>
  <c r="R649" s="1"/>
  <c r="U638"/>
  <c r="U639"/>
  <c r="U640"/>
  <c r="U641"/>
  <c r="U637"/>
  <c r="T638"/>
  <c r="T639"/>
  <c r="T640"/>
  <c r="T641"/>
  <c r="T637"/>
  <c r="S638"/>
  <c r="S639"/>
  <c r="S640"/>
  <c r="S641"/>
  <c r="S637"/>
  <c r="Q638"/>
  <c r="Q639"/>
  <c r="Q640"/>
  <c r="Q641"/>
  <c r="Q637"/>
  <c r="Y638"/>
  <c r="R638" s="1"/>
  <c r="Y639"/>
  <c r="R639" s="1"/>
  <c r="Y640"/>
  <c r="R640" s="1"/>
  <c r="Y641"/>
  <c r="R641" s="1"/>
  <c r="Y637"/>
  <c r="R637" s="1"/>
  <c r="T626"/>
  <c r="T627"/>
  <c r="T628"/>
  <c r="T629"/>
  <c r="T625"/>
  <c r="U626"/>
  <c r="U627"/>
  <c r="U628"/>
  <c r="U629"/>
  <c r="U625"/>
  <c r="S626"/>
  <c r="S627"/>
  <c r="S628"/>
  <c r="S629"/>
  <c r="S625"/>
  <c r="F14" i="12" l="1"/>
  <c r="C6" i="14" s="1"/>
  <c r="Q820" i="11"/>
  <c r="W50" i="19"/>
  <c r="X50" s="1"/>
  <c r="Y50" s="1"/>
  <c r="Z50" s="1"/>
  <c r="N51"/>
  <c r="V51"/>
  <c r="AB52"/>
  <c r="G53"/>
  <c r="I52"/>
  <c r="AC52"/>
  <c r="AA52"/>
  <c r="R75"/>
  <c r="F75"/>
  <c r="A76"/>
  <c r="S75"/>
  <c r="E75"/>
  <c r="S820" i="11"/>
  <c r="R820"/>
  <c r="S824"/>
  <c r="Q824"/>
  <c r="Q627"/>
  <c r="Q628"/>
  <c r="Q629"/>
  <c r="Q626"/>
  <c r="Q625"/>
  <c r="Y626"/>
  <c r="R626" s="1"/>
  <c r="Y627"/>
  <c r="R627" s="1"/>
  <c r="Y628"/>
  <c r="R628" s="1"/>
  <c r="Y629"/>
  <c r="R629" s="1"/>
  <c r="Y625"/>
  <c r="R625" s="1"/>
  <c r="T820" l="1"/>
  <c r="F820" s="1"/>
  <c r="AC53" i="19"/>
  <c r="I53"/>
  <c r="AA53"/>
  <c r="G54"/>
  <c r="AB53"/>
  <c r="V52"/>
  <c r="N52"/>
  <c r="A77"/>
  <c r="S76"/>
  <c r="E76"/>
  <c r="R76"/>
  <c r="F76"/>
  <c r="W51"/>
  <c r="X51" s="1"/>
  <c r="Y51" s="1"/>
  <c r="Z51" s="1"/>
  <c r="T824" i="11"/>
  <c r="F824" s="1"/>
  <c r="H607"/>
  <c r="G605"/>
  <c r="H590"/>
  <c r="G588"/>
  <c r="H573"/>
  <c r="G571"/>
  <c r="H556"/>
  <c r="G554"/>
  <c r="G537"/>
  <c r="H606"/>
  <c r="H589"/>
  <c r="H572"/>
  <c r="H555"/>
  <c r="H539"/>
  <c r="H538"/>
  <c r="J537"/>
  <c r="D538" s="1"/>
  <c r="W52" i="19" l="1"/>
  <c r="X52" s="1"/>
  <c r="Y52" s="1"/>
  <c r="Z52" s="1"/>
  <c r="AC54"/>
  <c r="I54"/>
  <c r="G55"/>
  <c r="AB54"/>
  <c r="AA54"/>
  <c r="V53"/>
  <c r="N53"/>
  <c r="F77"/>
  <c r="S77"/>
  <c r="E77"/>
  <c r="R77"/>
  <c r="J538" i="11"/>
  <c r="F539" s="1"/>
  <c r="J539" s="1"/>
  <c r="H527" s="1"/>
  <c r="E623"/>
  <c r="S78" i="19" l="1"/>
  <c r="E78"/>
  <c r="R78"/>
  <c r="F78"/>
  <c r="G56"/>
  <c r="AA55"/>
  <c r="AC55"/>
  <c r="I55"/>
  <c r="AB55"/>
  <c r="W53"/>
  <c r="X53" s="1"/>
  <c r="Y53" s="1"/>
  <c r="Z53" s="1"/>
  <c r="V54"/>
  <c r="N54"/>
  <c r="A78"/>
  <c r="A79" s="1"/>
  <c r="H147"/>
  <c r="F630" i="11"/>
  <c r="F629"/>
  <c r="F627"/>
  <c r="F626"/>
  <c r="F625"/>
  <c r="H599"/>
  <c r="J599" s="1"/>
  <c r="H582"/>
  <c r="J582" s="1"/>
  <c r="H565"/>
  <c r="J565" s="1"/>
  <c r="H548"/>
  <c r="J548" s="1"/>
  <c r="H531"/>
  <c r="J531" s="1"/>
  <c r="Q593"/>
  <c r="Q576"/>
  <c r="V576" s="1"/>
  <c r="Q559"/>
  <c r="Q542"/>
  <c r="P525"/>
  <c r="Q525" s="1"/>
  <c r="P529" s="1"/>
  <c r="F530" s="1"/>
  <c r="V55" i="19" l="1"/>
  <c r="N55"/>
  <c r="E79"/>
  <c r="F79"/>
  <c r="R79"/>
  <c r="S79"/>
  <c r="G57"/>
  <c r="I56"/>
  <c r="AC56"/>
  <c r="AA56"/>
  <c r="AB56"/>
  <c r="W54"/>
  <c r="X54" s="1"/>
  <c r="Y54" s="1"/>
  <c r="Z54" s="1"/>
  <c r="A80"/>
  <c r="F631" i="11"/>
  <c r="F632" s="1"/>
  <c r="H148" i="19"/>
  <c r="U525" i="11"/>
  <c r="V525"/>
  <c r="U576"/>
  <c r="P577" s="1"/>
  <c r="F576" s="1"/>
  <c r="P597"/>
  <c r="F598" s="1"/>
  <c r="V593"/>
  <c r="P596" s="1"/>
  <c r="U593"/>
  <c r="P580"/>
  <c r="F581" s="1"/>
  <c r="P563"/>
  <c r="F564" s="1"/>
  <c r="V559"/>
  <c r="U559"/>
  <c r="P546"/>
  <c r="F547" s="1"/>
  <c r="V542"/>
  <c r="U542"/>
  <c r="W55" i="19" l="1"/>
  <c r="X55" s="1"/>
  <c r="Y55" s="1"/>
  <c r="Z55" s="1"/>
  <c r="A81"/>
  <c r="G58"/>
  <c r="AC57"/>
  <c r="I57"/>
  <c r="AA57"/>
  <c r="AB57"/>
  <c r="V56"/>
  <c r="N56"/>
  <c r="S80"/>
  <c r="F80"/>
  <c r="E80"/>
  <c r="R80"/>
  <c r="P594" i="11"/>
  <c r="F593" s="1"/>
  <c r="H631"/>
  <c r="P543"/>
  <c r="F542" s="1"/>
  <c r="H149" i="19"/>
  <c r="P560" i="11"/>
  <c r="F559" s="1"/>
  <c r="P528"/>
  <c r="F529" s="1"/>
  <c r="J614" s="1"/>
  <c r="P527"/>
  <c r="F528" s="1"/>
  <c r="P526"/>
  <c r="F525" s="1"/>
  <c r="F597"/>
  <c r="J619" s="1"/>
  <c r="P595"/>
  <c r="F596" s="1"/>
  <c r="P579"/>
  <c r="F580" s="1"/>
  <c r="J618" s="1"/>
  <c r="P578"/>
  <c r="F579" s="1"/>
  <c r="P562"/>
  <c r="F563" s="1"/>
  <c r="J617" s="1"/>
  <c r="P561"/>
  <c r="F562" s="1"/>
  <c r="P545"/>
  <c r="F546" s="1"/>
  <c r="J616" s="1"/>
  <c r="P544"/>
  <c r="F545" s="1"/>
  <c r="W56" i="19" l="1"/>
  <c r="X56" s="1"/>
  <c r="Y56" s="1"/>
  <c r="Z56" s="1"/>
  <c r="V57"/>
  <c r="N57"/>
  <c r="S81"/>
  <c r="R81"/>
  <c r="F81"/>
  <c r="E81"/>
  <c r="A82"/>
  <c r="I58"/>
  <c r="AB58"/>
  <c r="AA58"/>
  <c r="G59"/>
  <c r="AC58"/>
  <c r="H150"/>
  <c r="L49" i="14"/>
  <c r="F500" i="11"/>
  <c r="F487"/>
  <c r="G60" i="19" l="1"/>
  <c r="AB59"/>
  <c r="AC59"/>
  <c r="I59"/>
  <c r="AA59"/>
  <c r="S82"/>
  <c r="R82"/>
  <c r="F82"/>
  <c r="E82"/>
  <c r="V58"/>
  <c r="N58"/>
  <c r="W57"/>
  <c r="X57" s="1"/>
  <c r="Y57" s="1"/>
  <c r="Z57" s="1"/>
  <c r="A83"/>
  <c r="H151"/>
  <c r="J507" i="11"/>
  <c r="J508" s="1"/>
  <c r="I507"/>
  <c r="I508" s="1"/>
  <c r="H507"/>
  <c r="H508" s="1"/>
  <c r="G507"/>
  <c r="G508" s="1"/>
  <c r="F507"/>
  <c r="F508" s="1"/>
  <c r="G495"/>
  <c r="G496" s="1"/>
  <c r="H495"/>
  <c r="H496" s="1"/>
  <c r="I495"/>
  <c r="I496" s="1"/>
  <c r="J495"/>
  <c r="J496" s="1"/>
  <c r="F495"/>
  <c r="F496" s="1"/>
  <c r="G494"/>
  <c r="H494"/>
  <c r="I494"/>
  <c r="J494"/>
  <c r="F494"/>
  <c r="G61" i="19" l="1"/>
  <c r="AA60"/>
  <c r="AB60"/>
  <c r="AC60"/>
  <c r="I60"/>
  <c r="W58"/>
  <c r="X58" s="1"/>
  <c r="Y58" s="1"/>
  <c r="Z58" s="1"/>
  <c r="S83"/>
  <c r="R83"/>
  <c r="E83"/>
  <c r="F83"/>
  <c r="V59"/>
  <c r="N59"/>
  <c r="A84"/>
  <c r="H152"/>
  <c r="Q481" i="11"/>
  <c r="Q480"/>
  <c r="Q479"/>
  <c r="Q478"/>
  <c r="Q477"/>
  <c r="P477"/>
  <c r="P478" s="1"/>
  <c r="P479" s="1"/>
  <c r="P480" s="1"/>
  <c r="P481" s="1"/>
  <c r="Q476"/>
  <c r="Q475"/>
  <c r="Q474"/>
  <c r="Q473"/>
  <c r="Q472"/>
  <c r="P472"/>
  <c r="P473" s="1"/>
  <c r="P474" s="1"/>
  <c r="P475" s="1"/>
  <c r="P476" s="1"/>
  <c r="Q471"/>
  <c r="Q470"/>
  <c r="Q469"/>
  <c r="Q468"/>
  <c r="Q467"/>
  <c r="P467"/>
  <c r="P468" s="1"/>
  <c r="P469" s="1"/>
  <c r="P470" s="1"/>
  <c r="P471" s="1"/>
  <c r="Q466"/>
  <c r="Q465"/>
  <c r="Q464"/>
  <c r="Q463"/>
  <c r="Q462"/>
  <c r="P462"/>
  <c r="P463" s="1"/>
  <c r="P464" s="1"/>
  <c r="P465" s="1"/>
  <c r="P466" s="1"/>
  <c r="Q461"/>
  <c r="Q460"/>
  <c r="Q459"/>
  <c r="Q458"/>
  <c r="Q457"/>
  <c r="P457"/>
  <c r="P458" s="1"/>
  <c r="P459" s="1"/>
  <c r="P460" s="1"/>
  <c r="P461" s="1"/>
  <c r="J481"/>
  <c r="V481" s="1"/>
  <c r="H481"/>
  <c r="T481" s="1"/>
  <c r="G481"/>
  <c r="I481" s="1"/>
  <c r="U481" s="1"/>
  <c r="E481"/>
  <c r="R481" s="1"/>
  <c r="J480"/>
  <c r="V480" s="1"/>
  <c r="H480"/>
  <c r="T480" s="1"/>
  <c r="G480"/>
  <c r="I480" s="1"/>
  <c r="U480" s="1"/>
  <c r="E480"/>
  <c r="R480" s="1"/>
  <c r="J479"/>
  <c r="V479" s="1"/>
  <c r="H479"/>
  <c r="T479" s="1"/>
  <c r="G479"/>
  <c r="I479" s="1"/>
  <c r="U479" s="1"/>
  <c r="E479"/>
  <c r="R479" s="1"/>
  <c r="J478"/>
  <c r="V478" s="1"/>
  <c r="H478"/>
  <c r="T478" s="1"/>
  <c r="G478"/>
  <c r="I478" s="1"/>
  <c r="U478" s="1"/>
  <c r="E478"/>
  <c r="R478" s="1"/>
  <c r="J477"/>
  <c r="V477" s="1"/>
  <c r="H477"/>
  <c r="T477" s="1"/>
  <c r="G477"/>
  <c r="I477" s="1"/>
  <c r="U477" s="1"/>
  <c r="E477"/>
  <c r="R477" s="1"/>
  <c r="J476"/>
  <c r="V476" s="1"/>
  <c r="H476"/>
  <c r="T476" s="1"/>
  <c r="G476"/>
  <c r="I476" s="1"/>
  <c r="U476" s="1"/>
  <c r="E476"/>
  <c r="R476" s="1"/>
  <c r="J475"/>
  <c r="V475" s="1"/>
  <c r="H475"/>
  <c r="T475" s="1"/>
  <c r="G475"/>
  <c r="I475" s="1"/>
  <c r="U475" s="1"/>
  <c r="E475"/>
  <c r="R475" s="1"/>
  <c r="J474"/>
  <c r="V474" s="1"/>
  <c r="H474"/>
  <c r="T474" s="1"/>
  <c r="G474"/>
  <c r="I474" s="1"/>
  <c r="U474" s="1"/>
  <c r="E474"/>
  <c r="R474" s="1"/>
  <c r="J473"/>
  <c r="V473" s="1"/>
  <c r="H473"/>
  <c r="T473" s="1"/>
  <c r="G473"/>
  <c r="I473" s="1"/>
  <c r="U473" s="1"/>
  <c r="E473"/>
  <c r="R473" s="1"/>
  <c r="J472"/>
  <c r="V472" s="1"/>
  <c r="H472"/>
  <c r="T472" s="1"/>
  <c r="G472"/>
  <c r="I472" s="1"/>
  <c r="U472" s="1"/>
  <c r="E472"/>
  <c r="R472" s="1"/>
  <c r="J471"/>
  <c r="V471" s="1"/>
  <c r="H471"/>
  <c r="T471" s="1"/>
  <c r="G471"/>
  <c r="I471" s="1"/>
  <c r="U471" s="1"/>
  <c r="E471"/>
  <c r="R471" s="1"/>
  <c r="J470"/>
  <c r="V470" s="1"/>
  <c r="H470"/>
  <c r="T470" s="1"/>
  <c r="G470"/>
  <c r="I470" s="1"/>
  <c r="U470" s="1"/>
  <c r="E470"/>
  <c r="R470" s="1"/>
  <c r="J469"/>
  <c r="V469" s="1"/>
  <c r="H469"/>
  <c r="T469" s="1"/>
  <c r="G469"/>
  <c r="I469" s="1"/>
  <c r="U469" s="1"/>
  <c r="E469"/>
  <c r="R469" s="1"/>
  <c r="J468"/>
  <c r="V468" s="1"/>
  <c r="H468"/>
  <c r="T468" s="1"/>
  <c r="G468"/>
  <c r="I468" s="1"/>
  <c r="U468" s="1"/>
  <c r="E468"/>
  <c r="R468" s="1"/>
  <c r="J467"/>
  <c r="V467" s="1"/>
  <c r="H467"/>
  <c r="T467" s="1"/>
  <c r="G467"/>
  <c r="I467" s="1"/>
  <c r="U467" s="1"/>
  <c r="E467"/>
  <c r="R467" s="1"/>
  <c r="J466"/>
  <c r="V466" s="1"/>
  <c r="H466"/>
  <c r="T466" s="1"/>
  <c r="G466"/>
  <c r="I466" s="1"/>
  <c r="U466" s="1"/>
  <c r="E466"/>
  <c r="R466" s="1"/>
  <c r="J465"/>
  <c r="V465" s="1"/>
  <c r="H465"/>
  <c r="T465" s="1"/>
  <c r="G465"/>
  <c r="I465" s="1"/>
  <c r="U465" s="1"/>
  <c r="E465"/>
  <c r="R465" s="1"/>
  <c r="J464"/>
  <c r="V464" s="1"/>
  <c r="H464"/>
  <c r="T464" s="1"/>
  <c r="G464"/>
  <c r="I464" s="1"/>
  <c r="U464" s="1"/>
  <c r="E464"/>
  <c r="R464" s="1"/>
  <c r="J463"/>
  <c r="V463" s="1"/>
  <c r="H463"/>
  <c r="T463" s="1"/>
  <c r="G463"/>
  <c r="I463" s="1"/>
  <c r="U463" s="1"/>
  <c r="E463"/>
  <c r="R463" s="1"/>
  <c r="J462"/>
  <c r="V462" s="1"/>
  <c r="H462"/>
  <c r="T462" s="1"/>
  <c r="G462"/>
  <c r="I462" s="1"/>
  <c r="U462" s="1"/>
  <c r="E462"/>
  <c r="R462" s="1"/>
  <c r="J457"/>
  <c r="J458"/>
  <c r="V458" s="1"/>
  <c r="H457"/>
  <c r="H458"/>
  <c r="T458" s="1"/>
  <c r="G458"/>
  <c r="S458" s="1"/>
  <c r="E458"/>
  <c r="R458" s="1"/>
  <c r="E457"/>
  <c r="R457" s="1"/>
  <c r="Q436"/>
  <c r="Q435"/>
  <c r="Q434"/>
  <c r="Q433"/>
  <c r="Q432"/>
  <c r="P432"/>
  <c r="P433" s="1"/>
  <c r="P434" s="1"/>
  <c r="P435" s="1"/>
  <c r="P436" s="1"/>
  <c r="Q431"/>
  <c r="Q430"/>
  <c r="Q429"/>
  <c r="Q428"/>
  <c r="Q427"/>
  <c r="P427"/>
  <c r="P428" s="1"/>
  <c r="P429" s="1"/>
  <c r="P430" s="1"/>
  <c r="P431" s="1"/>
  <c r="Q426"/>
  <c r="Q425"/>
  <c r="Q424"/>
  <c r="Q423"/>
  <c r="Q422"/>
  <c r="P422"/>
  <c r="P423" s="1"/>
  <c r="P424" s="1"/>
  <c r="P425" s="1"/>
  <c r="P426" s="1"/>
  <c r="Q421"/>
  <c r="Q420"/>
  <c r="Q419"/>
  <c r="Q418"/>
  <c r="Q417"/>
  <c r="P417"/>
  <c r="P418" s="1"/>
  <c r="P419" s="1"/>
  <c r="P420" s="1"/>
  <c r="P421" s="1"/>
  <c r="Q413"/>
  <c r="Q414"/>
  <c r="Q415"/>
  <c r="Q416"/>
  <c r="Q412"/>
  <c r="P412"/>
  <c r="P413" s="1"/>
  <c r="P414" s="1"/>
  <c r="P415" s="1"/>
  <c r="P416" s="1"/>
  <c r="K436"/>
  <c r="W436" s="1"/>
  <c r="J436"/>
  <c r="V436" s="1"/>
  <c r="I436"/>
  <c r="U436" s="1"/>
  <c r="H436"/>
  <c r="T436" s="1"/>
  <c r="G436"/>
  <c r="S436" s="1"/>
  <c r="E436"/>
  <c r="R436" s="1"/>
  <c r="K435"/>
  <c r="W435" s="1"/>
  <c r="J435"/>
  <c r="V435" s="1"/>
  <c r="I435"/>
  <c r="U435" s="1"/>
  <c r="H435"/>
  <c r="T435" s="1"/>
  <c r="G435"/>
  <c r="S435" s="1"/>
  <c r="E435"/>
  <c r="R435" s="1"/>
  <c r="K434"/>
  <c r="W434" s="1"/>
  <c r="J434"/>
  <c r="V434" s="1"/>
  <c r="I434"/>
  <c r="U434" s="1"/>
  <c r="H434"/>
  <c r="T434" s="1"/>
  <c r="G434"/>
  <c r="S434" s="1"/>
  <c r="E434"/>
  <c r="R434" s="1"/>
  <c r="K433"/>
  <c r="W433" s="1"/>
  <c r="J433"/>
  <c r="V433" s="1"/>
  <c r="I433"/>
  <c r="U433" s="1"/>
  <c r="H433"/>
  <c r="T433" s="1"/>
  <c r="G433"/>
  <c r="S433" s="1"/>
  <c r="E433"/>
  <c r="R433" s="1"/>
  <c r="K432"/>
  <c r="W432" s="1"/>
  <c r="J432"/>
  <c r="V432" s="1"/>
  <c r="I432"/>
  <c r="U432" s="1"/>
  <c r="H432"/>
  <c r="T432" s="1"/>
  <c r="G432"/>
  <c r="S432" s="1"/>
  <c r="E432"/>
  <c r="R432" s="1"/>
  <c r="K431"/>
  <c r="W431" s="1"/>
  <c r="J431"/>
  <c r="V431" s="1"/>
  <c r="I431"/>
  <c r="U431" s="1"/>
  <c r="H431"/>
  <c r="T431" s="1"/>
  <c r="G431"/>
  <c r="S431" s="1"/>
  <c r="E431"/>
  <c r="R431" s="1"/>
  <c r="K430"/>
  <c r="W430" s="1"/>
  <c r="J430"/>
  <c r="V430" s="1"/>
  <c r="I430"/>
  <c r="U430" s="1"/>
  <c r="H430"/>
  <c r="T430" s="1"/>
  <c r="G430"/>
  <c r="S430" s="1"/>
  <c r="E430"/>
  <c r="R430" s="1"/>
  <c r="K429"/>
  <c r="W429" s="1"/>
  <c r="J429"/>
  <c r="V429" s="1"/>
  <c r="I429"/>
  <c r="U429" s="1"/>
  <c r="H429"/>
  <c r="T429" s="1"/>
  <c r="G429"/>
  <c r="S429" s="1"/>
  <c r="E429"/>
  <c r="R429" s="1"/>
  <c r="K428"/>
  <c r="W428" s="1"/>
  <c r="J428"/>
  <c r="V428" s="1"/>
  <c r="I428"/>
  <c r="U428" s="1"/>
  <c r="H428"/>
  <c r="T428" s="1"/>
  <c r="G428"/>
  <c r="S428" s="1"/>
  <c r="E428"/>
  <c r="R428" s="1"/>
  <c r="K427"/>
  <c r="W427" s="1"/>
  <c r="J427"/>
  <c r="V427" s="1"/>
  <c r="I427"/>
  <c r="U427" s="1"/>
  <c r="H427"/>
  <c r="T427" s="1"/>
  <c r="G427"/>
  <c r="S427" s="1"/>
  <c r="E427"/>
  <c r="R427" s="1"/>
  <c r="K426"/>
  <c r="W426" s="1"/>
  <c r="J426"/>
  <c r="V426" s="1"/>
  <c r="I426"/>
  <c r="U426" s="1"/>
  <c r="H426"/>
  <c r="T426" s="1"/>
  <c r="G426"/>
  <c r="S426" s="1"/>
  <c r="E426"/>
  <c r="R426" s="1"/>
  <c r="K425"/>
  <c r="W425" s="1"/>
  <c r="J425"/>
  <c r="V425" s="1"/>
  <c r="I425"/>
  <c r="U425" s="1"/>
  <c r="H425"/>
  <c r="T425" s="1"/>
  <c r="G425"/>
  <c r="S425" s="1"/>
  <c r="E425"/>
  <c r="R425" s="1"/>
  <c r="K424"/>
  <c r="W424" s="1"/>
  <c r="J424"/>
  <c r="V424" s="1"/>
  <c r="I424"/>
  <c r="U424" s="1"/>
  <c r="H424"/>
  <c r="T424" s="1"/>
  <c r="G424"/>
  <c r="S424" s="1"/>
  <c r="E424"/>
  <c r="R424" s="1"/>
  <c r="K423"/>
  <c r="W423" s="1"/>
  <c r="J423"/>
  <c r="V423" s="1"/>
  <c r="I423"/>
  <c r="U423" s="1"/>
  <c r="H423"/>
  <c r="T423" s="1"/>
  <c r="G423"/>
  <c r="S423" s="1"/>
  <c r="E423"/>
  <c r="R423" s="1"/>
  <c r="K422"/>
  <c r="W422" s="1"/>
  <c r="J422"/>
  <c r="V422" s="1"/>
  <c r="I422"/>
  <c r="U422" s="1"/>
  <c r="H422"/>
  <c r="T422" s="1"/>
  <c r="G422"/>
  <c r="S422" s="1"/>
  <c r="E422"/>
  <c r="R422" s="1"/>
  <c r="K421"/>
  <c r="W421" s="1"/>
  <c r="J421"/>
  <c r="V421" s="1"/>
  <c r="I421"/>
  <c r="U421" s="1"/>
  <c r="H421"/>
  <c r="T421" s="1"/>
  <c r="G421"/>
  <c r="S421" s="1"/>
  <c r="E421"/>
  <c r="R421" s="1"/>
  <c r="K420"/>
  <c r="W420" s="1"/>
  <c r="J420"/>
  <c r="V420" s="1"/>
  <c r="I420"/>
  <c r="U420" s="1"/>
  <c r="H420"/>
  <c r="T420" s="1"/>
  <c r="G420"/>
  <c r="S420" s="1"/>
  <c r="E420"/>
  <c r="R420" s="1"/>
  <c r="K419"/>
  <c r="W419" s="1"/>
  <c r="J419"/>
  <c r="V419" s="1"/>
  <c r="I419"/>
  <c r="U419" s="1"/>
  <c r="H419"/>
  <c r="T419" s="1"/>
  <c r="G419"/>
  <c r="S419" s="1"/>
  <c r="E419"/>
  <c r="R419" s="1"/>
  <c r="K418"/>
  <c r="W418" s="1"/>
  <c r="J418"/>
  <c r="V418" s="1"/>
  <c r="I418"/>
  <c r="U418" s="1"/>
  <c r="H418"/>
  <c r="T418" s="1"/>
  <c r="G418"/>
  <c r="S418" s="1"/>
  <c r="E418"/>
  <c r="R418" s="1"/>
  <c r="K417"/>
  <c r="W417" s="1"/>
  <c r="J417"/>
  <c r="V417" s="1"/>
  <c r="I417"/>
  <c r="U417" s="1"/>
  <c r="H417"/>
  <c r="T417" s="1"/>
  <c r="G417"/>
  <c r="S417" s="1"/>
  <c r="E417"/>
  <c r="R417" s="1"/>
  <c r="K413"/>
  <c r="W413" s="1"/>
  <c r="K412"/>
  <c r="J412"/>
  <c r="J413"/>
  <c r="V413" s="1"/>
  <c r="I412"/>
  <c r="I413"/>
  <c r="U413" s="1"/>
  <c r="H413"/>
  <c r="T413" s="1"/>
  <c r="H412"/>
  <c r="G412"/>
  <c r="G413"/>
  <c r="S413" s="1"/>
  <c r="E412"/>
  <c r="E413"/>
  <c r="R413" s="1"/>
  <c r="H460"/>
  <c r="T460" s="1"/>
  <c r="H461"/>
  <c r="T461" s="1"/>
  <c r="H459"/>
  <c r="T459" s="1"/>
  <c r="G461"/>
  <c r="I461" s="1"/>
  <c r="U461" s="1"/>
  <c r="G460"/>
  <c r="I460" s="1"/>
  <c r="U460" s="1"/>
  <c r="G459"/>
  <c r="I459" s="1"/>
  <c r="U459" s="1"/>
  <c r="G457"/>
  <c r="S457" s="1"/>
  <c r="J461"/>
  <c r="V461" s="1"/>
  <c r="E461"/>
  <c r="R461" s="1"/>
  <c r="J460"/>
  <c r="V460" s="1"/>
  <c r="E460"/>
  <c r="R460" s="1"/>
  <c r="J459"/>
  <c r="V459" s="1"/>
  <c r="E459"/>
  <c r="R459" s="1"/>
  <c r="V457"/>
  <c r="T457"/>
  <c r="W59" i="19" l="1"/>
  <c r="V60"/>
  <c r="N60"/>
  <c r="AC61"/>
  <c r="I61"/>
  <c r="AB61"/>
  <c r="AA61"/>
  <c r="G62"/>
  <c r="X59"/>
  <c r="Y59" s="1"/>
  <c r="Z59" s="1"/>
  <c r="E84"/>
  <c r="F84"/>
  <c r="R84"/>
  <c r="S84"/>
  <c r="S461" i="11"/>
  <c r="H153" i="19"/>
  <c r="S460" i="11"/>
  <c r="I458"/>
  <c r="U458" s="1"/>
  <c r="I457"/>
  <c r="U457" s="1"/>
  <c r="S459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K416"/>
  <c r="W416" s="1"/>
  <c r="K415"/>
  <c r="W415" s="1"/>
  <c r="K414"/>
  <c r="W414" s="1"/>
  <c r="W412"/>
  <c r="F85" i="19" l="1"/>
  <c r="S85"/>
  <c r="E85"/>
  <c r="R85"/>
  <c r="V61"/>
  <c r="N61"/>
  <c r="W60"/>
  <c r="X60" s="1"/>
  <c r="Y60" s="1"/>
  <c r="Z60" s="1"/>
  <c r="A85"/>
  <c r="AB62"/>
  <c r="AA62"/>
  <c r="G63"/>
  <c r="I62"/>
  <c r="AC62"/>
  <c r="H154"/>
  <c r="J415" i="11"/>
  <c r="V415" s="1"/>
  <c r="J416"/>
  <c r="V416" s="1"/>
  <c r="J414"/>
  <c r="V414" s="1"/>
  <c r="V412"/>
  <c r="I415"/>
  <c r="U415" s="1"/>
  <c r="I416"/>
  <c r="U416" s="1"/>
  <c r="I414"/>
  <c r="U414" s="1"/>
  <c r="U412"/>
  <c r="H416"/>
  <c r="T416" s="1"/>
  <c r="H415"/>
  <c r="T415" s="1"/>
  <c r="H414"/>
  <c r="T414" s="1"/>
  <c r="T412"/>
  <c r="G415"/>
  <c r="S415" s="1"/>
  <c r="G416"/>
  <c r="S416" s="1"/>
  <c r="G414"/>
  <c r="S414" s="1"/>
  <c r="S412"/>
  <c r="R412"/>
  <c r="E416"/>
  <c r="R416" s="1"/>
  <c r="E415"/>
  <c r="R415" s="1"/>
  <c r="E414"/>
  <c r="R414" s="1"/>
  <c r="V62" i="19" l="1"/>
  <c r="N62"/>
  <c r="A86"/>
  <c r="W61"/>
  <c r="X61" s="1"/>
  <c r="Y61" s="1"/>
  <c r="Z61" s="1"/>
  <c r="E86"/>
  <c r="F86"/>
  <c r="S86"/>
  <c r="R86"/>
  <c r="G64"/>
  <c r="AB63"/>
  <c r="AC63"/>
  <c r="AA63"/>
  <c r="I63"/>
  <c r="H155"/>
  <c r="H358" i="11"/>
  <c r="A87" i="19" l="1"/>
  <c r="A88" s="1"/>
  <c r="V63"/>
  <c r="N63"/>
  <c r="AA64"/>
  <c r="AB64"/>
  <c r="AC64"/>
  <c r="G65"/>
  <c r="I64"/>
  <c r="S87"/>
  <c r="E87"/>
  <c r="F87"/>
  <c r="R87"/>
  <c r="W62"/>
  <c r="X62" s="1"/>
  <c r="Y62" s="1"/>
  <c r="Z62" s="1"/>
  <c r="H156"/>
  <c r="H350" i="11"/>
  <c r="D351" s="1"/>
  <c r="H349"/>
  <c r="W63" i="19" l="1"/>
  <c r="X63" s="1"/>
  <c r="Y63" s="1"/>
  <c r="Z63" s="1"/>
  <c r="E88"/>
  <c r="R88"/>
  <c r="S88"/>
  <c r="F88"/>
  <c r="AC65"/>
  <c r="AA65"/>
  <c r="G66"/>
  <c r="I65"/>
  <c r="AB65"/>
  <c r="V64"/>
  <c r="N64"/>
  <c r="H157"/>
  <c r="H351" i="11"/>
  <c r="F352" s="1"/>
  <c r="P500"/>
  <c r="F501" s="1"/>
  <c r="P453"/>
  <c r="P408"/>
  <c r="J444"/>
  <c r="F446" s="1"/>
  <c r="J397"/>
  <c r="F402" s="1"/>
  <c r="P486"/>
  <c r="R370"/>
  <c r="W374"/>
  <c r="W377"/>
  <c r="W376"/>
  <c r="W375"/>
  <c r="W378"/>
  <c r="W379"/>
  <c r="W380"/>
  <c r="W381"/>
  <c r="W382"/>
  <c r="W383"/>
  <c r="W384"/>
  <c r="W385"/>
  <c r="W386"/>
  <c r="W387"/>
  <c r="W388"/>
  <c r="W389"/>
  <c r="W390"/>
  <c r="W391"/>
  <c r="W392"/>
  <c r="W393"/>
  <c r="S370"/>
  <c r="S374"/>
  <c r="S375"/>
  <c r="S376"/>
  <c r="S377"/>
  <c r="S378"/>
  <c r="S381"/>
  <c r="S380"/>
  <c r="S379"/>
  <c r="S382"/>
  <c r="S385"/>
  <c r="S384"/>
  <c r="S383"/>
  <c r="S386"/>
  <c r="S389"/>
  <c r="S388"/>
  <c r="S387"/>
  <c r="S390"/>
  <c r="S393"/>
  <c r="S392"/>
  <c r="S391"/>
  <c r="R89" i="19" l="1"/>
  <c r="F89"/>
  <c r="E89"/>
  <c r="S89"/>
  <c r="A89"/>
  <c r="A90" s="1"/>
  <c r="AB66"/>
  <c r="AC66"/>
  <c r="I66"/>
  <c r="G67"/>
  <c r="AA66"/>
  <c r="V65"/>
  <c r="N65"/>
  <c r="W64"/>
  <c r="X64" s="1"/>
  <c r="Y64" s="1"/>
  <c r="Z64" s="1"/>
  <c r="Q408" i="11"/>
  <c r="O408" s="1"/>
  <c r="F398" s="1"/>
  <c r="H158" i="19"/>
  <c r="T370" i="11"/>
  <c r="D356" s="1"/>
  <c r="F356" s="1"/>
  <c r="F488"/>
  <c r="F486"/>
  <c r="H451"/>
  <c r="Q453"/>
  <c r="O453" s="1"/>
  <c r="D355"/>
  <c r="F355" s="1"/>
  <c r="W65" i="19" l="1"/>
  <c r="X65" s="1"/>
  <c r="Y65" s="1"/>
  <c r="Z65" s="1"/>
  <c r="V66"/>
  <c r="N66"/>
  <c r="AA67"/>
  <c r="AB67"/>
  <c r="AC67"/>
  <c r="I67"/>
  <c r="G68"/>
  <c r="E90"/>
  <c r="S90"/>
  <c r="F90"/>
  <c r="R90"/>
  <c r="F401" i="11"/>
  <c r="F403"/>
  <c r="F404"/>
  <c r="F399"/>
  <c r="F400"/>
  <c r="H159" i="19"/>
  <c r="F449" i="11"/>
  <c r="F445"/>
  <c r="F447"/>
  <c r="F448"/>
  <c r="F357"/>
  <c r="H357" s="1"/>
  <c r="D303"/>
  <c r="D274"/>
  <c r="G297" s="1"/>
  <c r="E91" i="19" l="1"/>
  <c r="F91"/>
  <c r="R91"/>
  <c r="S91"/>
  <c r="W66"/>
  <c r="X66" s="1"/>
  <c r="Y66" s="1"/>
  <c r="Z66" s="1"/>
  <c r="A91"/>
  <c r="AA68"/>
  <c r="AB68"/>
  <c r="AC68"/>
  <c r="I68"/>
  <c r="G69"/>
  <c r="N67"/>
  <c r="V67"/>
  <c r="H160"/>
  <c r="F358" i="11"/>
  <c r="J296"/>
  <c r="J297" s="1"/>
  <c r="J282"/>
  <c r="G326"/>
  <c r="J325"/>
  <c r="J326" s="1"/>
  <c r="J311"/>
  <c r="J304"/>
  <c r="J305" s="1"/>
  <c r="J306" s="1"/>
  <c r="J308" s="1"/>
  <c r="J298" l="1"/>
  <c r="J327"/>
  <c r="E92" i="19"/>
  <c r="F92"/>
  <c r="R92"/>
  <c r="S92"/>
  <c r="AA69"/>
  <c r="AC69"/>
  <c r="I69"/>
  <c r="G70"/>
  <c r="AB69"/>
  <c r="W67"/>
  <c r="X67" s="1"/>
  <c r="Y67" s="1"/>
  <c r="Z67" s="1"/>
  <c r="V68"/>
  <c r="N68"/>
  <c r="A92"/>
  <c r="H161"/>
  <c r="W68" l="1"/>
  <c r="X68" s="1"/>
  <c r="Y68" s="1"/>
  <c r="Z68" s="1"/>
  <c r="A93"/>
  <c r="A94" s="1"/>
  <c r="AB70"/>
  <c r="AC70"/>
  <c r="I70"/>
  <c r="G71"/>
  <c r="AA70"/>
  <c r="R93"/>
  <c r="F93"/>
  <c r="E93"/>
  <c r="S93"/>
  <c r="N69"/>
  <c r="V69"/>
  <c r="H162"/>
  <c r="J256" i="11"/>
  <c r="J253"/>
  <c r="J249"/>
  <c r="D249"/>
  <c r="J248"/>
  <c r="J232"/>
  <c r="J223"/>
  <c r="W69" i="19" l="1"/>
  <c r="X69" s="1"/>
  <c r="Y69" s="1"/>
  <c r="Z69" s="1"/>
  <c r="V70"/>
  <c r="N70"/>
  <c r="R94"/>
  <c r="S94"/>
  <c r="E94"/>
  <c r="F94"/>
  <c r="AC71"/>
  <c r="I71"/>
  <c r="G72"/>
  <c r="AA71"/>
  <c r="AB71"/>
  <c r="A95"/>
  <c r="J250" i="11"/>
  <c r="J251" s="1"/>
  <c r="H163" i="19"/>
  <c r="C208" i="11"/>
  <c r="B208"/>
  <c r="N71" i="19" l="1"/>
  <c r="V71"/>
  <c r="F95"/>
  <c r="R95"/>
  <c r="S95"/>
  <c r="E95"/>
  <c r="G73"/>
  <c r="AA72"/>
  <c r="AC72"/>
  <c r="AB72"/>
  <c r="I72"/>
  <c r="W70"/>
  <c r="X70" s="1"/>
  <c r="Y70" s="1"/>
  <c r="Z70" s="1"/>
  <c r="A96"/>
  <c r="H164"/>
  <c r="L20" i="14"/>
  <c r="M20" s="1"/>
  <c r="L19"/>
  <c r="M19" s="1"/>
  <c r="Q10" i="11"/>
  <c r="Q11"/>
  <c r="Q9"/>
  <c r="G10" s="1"/>
  <c r="M82" i="4"/>
  <c r="M81"/>
  <c r="N80"/>
  <c r="M80"/>
  <c r="N79"/>
  <c r="M79"/>
  <c r="N78"/>
  <c r="M78"/>
  <c r="M64"/>
  <c r="N60"/>
  <c r="O60" s="1"/>
  <c r="M60"/>
  <c r="N58"/>
  <c r="O58" s="1"/>
  <c r="M58"/>
  <c r="N56"/>
  <c r="O56" s="1"/>
  <c r="M56"/>
  <c r="N54"/>
  <c r="O54" s="1"/>
  <c r="M54"/>
  <c r="N51"/>
  <c r="O51" s="1"/>
  <c r="M51"/>
  <c r="N50"/>
  <c r="O50" s="1"/>
  <c r="M50"/>
  <c r="N49"/>
  <c r="O49" s="1"/>
  <c r="M49"/>
  <c r="M46"/>
  <c r="M33"/>
  <c r="M30"/>
  <c r="M29"/>
  <c r="M28"/>
  <c r="M23"/>
  <c r="M18"/>
  <c r="M17"/>
  <c r="L43"/>
  <c r="M43" s="1"/>
  <c r="L42"/>
  <c r="M42" s="1"/>
  <c r="L41"/>
  <c r="M41" s="1"/>
  <c r="L40"/>
  <c r="M40" s="1"/>
  <c r="N55" i="14"/>
  <c r="N157"/>
  <c r="O157" s="1"/>
  <c r="P157" s="1"/>
  <c r="M157"/>
  <c r="N155"/>
  <c r="O155" s="1"/>
  <c r="P155" s="1"/>
  <c r="M155"/>
  <c r="N153"/>
  <c r="O153" s="1"/>
  <c r="P153" s="1"/>
  <c r="M153"/>
  <c r="N151"/>
  <c r="O151" s="1"/>
  <c r="P151" s="1"/>
  <c r="M151"/>
  <c r="N82"/>
  <c r="O82" s="1"/>
  <c r="P82" s="1"/>
  <c r="M82"/>
  <c r="N81"/>
  <c r="O81" s="1"/>
  <c r="P81" s="1"/>
  <c r="M81"/>
  <c r="N80"/>
  <c r="O80" s="1"/>
  <c r="P80" s="1"/>
  <c r="M80"/>
  <c r="N77"/>
  <c r="O77" s="1"/>
  <c r="P77" s="1"/>
  <c r="M77"/>
  <c r="N76"/>
  <c r="O76" s="1"/>
  <c r="P76" s="1"/>
  <c r="M76"/>
  <c r="N74"/>
  <c r="O74" s="1"/>
  <c r="P74" s="1"/>
  <c r="M74"/>
  <c r="N72"/>
  <c r="O72" s="1"/>
  <c r="P72" s="1"/>
  <c r="M72"/>
  <c r="N70"/>
  <c r="O70" s="1"/>
  <c r="P70" s="1"/>
  <c r="M70"/>
  <c r="N69"/>
  <c r="O69" s="1"/>
  <c r="P69" s="1"/>
  <c r="M69"/>
  <c r="N68"/>
  <c r="O68" s="1"/>
  <c r="P68" s="1"/>
  <c r="M68"/>
  <c r="N49"/>
  <c r="O49" s="1"/>
  <c r="P49" s="1"/>
  <c r="M49"/>
  <c r="N48"/>
  <c r="O48" s="1"/>
  <c r="M48"/>
  <c r="N47"/>
  <c r="O47" s="1"/>
  <c r="M47"/>
  <c r="N20"/>
  <c r="N19"/>
  <c r="L138"/>
  <c r="M138" s="1"/>
  <c r="W71" i="19" l="1"/>
  <c r="X71" s="1"/>
  <c r="Y71" s="1"/>
  <c r="Z71" s="1"/>
  <c r="E96"/>
  <c r="R96"/>
  <c r="F96"/>
  <c r="S96"/>
  <c r="V72"/>
  <c r="N72"/>
  <c r="AB73"/>
  <c r="AC73"/>
  <c r="I73"/>
  <c r="G74"/>
  <c r="AA73"/>
  <c r="A97"/>
  <c r="H165"/>
  <c r="P78" i="4"/>
  <c r="O78"/>
  <c r="P79"/>
  <c r="O79"/>
  <c r="P80"/>
  <c r="O80"/>
  <c r="O19" i="14"/>
  <c r="P19" s="1"/>
  <c r="O20"/>
  <c r="P20" s="1"/>
  <c r="P49" i="4"/>
  <c r="P50"/>
  <c r="P51"/>
  <c r="P54"/>
  <c r="P56"/>
  <c r="P58"/>
  <c r="P60"/>
  <c r="P47" i="14"/>
  <c r="P48"/>
  <c r="L55"/>
  <c r="M55" s="1"/>
  <c r="M116"/>
  <c r="M115"/>
  <c r="M114"/>
  <c r="M113"/>
  <c r="M112"/>
  <c r="M101"/>
  <c r="M92"/>
  <c r="M130"/>
  <c r="M121"/>
  <c r="M120"/>
  <c r="L136"/>
  <c r="M136" s="1"/>
  <c r="L135"/>
  <c r="M135" s="1"/>
  <c r="I74" i="19" l="1"/>
  <c r="G75"/>
  <c r="AA74"/>
  <c r="AB74"/>
  <c r="AC74"/>
  <c r="F97"/>
  <c r="S97"/>
  <c r="E97"/>
  <c r="R97"/>
  <c r="A98"/>
  <c r="V73"/>
  <c r="N73"/>
  <c r="W72"/>
  <c r="X72" s="1"/>
  <c r="Y72" s="1"/>
  <c r="Z72" s="1"/>
  <c r="H166"/>
  <c r="O55" i="14"/>
  <c r="P55" s="1"/>
  <c r="L141"/>
  <c r="L54"/>
  <c r="M54" s="1"/>
  <c r="M133"/>
  <c r="M132"/>
  <c r="M126"/>
  <c r="M117"/>
  <c r="M110"/>
  <c r="M108"/>
  <c r="M104"/>
  <c r="M97"/>
  <c r="M93"/>
  <c r="L118" i="18"/>
  <c r="L117"/>
  <c r="L116"/>
  <c r="L115"/>
  <c r="L113"/>
  <c r="L112"/>
  <c r="L111"/>
  <c r="L110"/>
  <c r="L109"/>
  <c r="L124"/>
  <c r="W73" i="19" l="1"/>
  <c r="X73" s="1"/>
  <c r="Y73" s="1"/>
  <c r="Z73" s="1"/>
  <c r="I75"/>
  <c r="G76"/>
  <c r="AA75"/>
  <c r="AB75"/>
  <c r="AC75"/>
  <c r="S98"/>
  <c r="E98"/>
  <c r="R98"/>
  <c r="F98"/>
  <c r="V74"/>
  <c r="N74"/>
  <c r="H167"/>
  <c r="M94" i="14"/>
  <c r="M95"/>
  <c r="M96"/>
  <c r="M98"/>
  <c r="M99"/>
  <c r="M100"/>
  <c r="M102"/>
  <c r="M103"/>
  <c r="M105"/>
  <c r="M106"/>
  <c r="M107"/>
  <c r="M109"/>
  <c r="M111"/>
  <c r="M118"/>
  <c r="M119"/>
  <c r="M122"/>
  <c r="M123"/>
  <c r="M125"/>
  <c r="M127"/>
  <c r="M128"/>
  <c r="M129"/>
  <c r="I18" i="6"/>
  <c r="K18"/>
  <c r="D18"/>
  <c r="E18"/>
  <c r="H18" s="1"/>
  <c r="I19"/>
  <c r="K19"/>
  <c r="D19"/>
  <c r="E19"/>
  <c r="H19" s="1"/>
  <c r="I20"/>
  <c r="I25" s="1"/>
  <c r="K20"/>
  <c r="K25" s="1"/>
  <c r="D20"/>
  <c r="D25" s="1"/>
  <c r="E20"/>
  <c r="E25" s="1"/>
  <c r="H25" s="1"/>
  <c r="I21"/>
  <c r="K21"/>
  <c r="D21"/>
  <c r="E21"/>
  <c r="H21" s="1"/>
  <c r="I22"/>
  <c r="K22"/>
  <c r="D22"/>
  <c r="E22"/>
  <c r="H22" s="1"/>
  <c r="I23"/>
  <c r="H872" i="11" s="1"/>
  <c r="K872" s="1"/>
  <c r="K23" i="6"/>
  <c r="K24" s="1"/>
  <c r="D23"/>
  <c r="H870" i="11" s="1"/>
  <c r="K870" s="1"/>
  <c r="E23" i="6"/>
  <c r="S124" i="18"/>
  <c r="I44" i="6" s="1"/>
  <c r="R124" i="18"/>
  <c r="E44" i="6" s="1"/>
  <c r="H44" s="1"/>
  <c r="Q124" i="18"/>
  <c r="D44" i="6" s="1"/>
  <c r="M124" i="18"/>
  <c r="K44" i="6" s="1"/>
  <c r="M134" i="14"/>
  <c r="M141"/>
  <c r="L120" i="18"/>
  <c r="L121"/>
  <c r="L122"/>
  <c r="L123"/>
  <c r="L308"/>
  <c r="C8" i="11"/>
  <c r="B8"/>
  <c r="C111"/>
  <c r="H512"/>
  <c r="H500"/>
  <c r="H487"/>
  <c r="H446"/>
  <c r="H402"/>
  <c r="H361"/>
  <c r="H360"/>
  <c r="H359"/>
  <c r="J283"/>
  <c r="H177"/>
  <c r="H171"/>
  <c r="J151"/>
  <c r="M139"/>
  <c r="M138"/>
  <c r="M136"/>
  <c r="M135"/>
  <c r="M134"/>
  <c r="H122"/>
  <c r="H108"/>
  <c r="H107"/>
  <c r="H99"/>
  <c r="H95"/>
  <c r="H90"/>
  <c r="H86"/>
  <c r="H73"/>
  <c r="H65"/>
  <c r="H61"/>
  <c r="H56"/>
  <c r="H48"/>
  <c r="H43"/>
  <c r="I26"/>
  <c r="I21"/>
  <c r="BE11" i="2"/>
  <c r="J262" i="11" l="1"/>
  <c r="J25" i="6"/>
  <c r="W74" i="19"/>
  <c r="X74" s="1"/>
  <c r="Y74" s="1"/>
  <c r="Z74" s="1"/>
  <c r="V75"/>
  <c r="N75"/>
  <c r="A99"/>
  <c r="S99"/>
  <c r="E99"/>
  <c r="R99"/>
  <c r="F99"/>
  <c r="I76"/>
  <c r="G77"/>
  <c r="AA76"/>
  <c r="AB76"/>
  <c r="AC76"/>
  <c r="H20" i="6"/>
  <c r="K873" i="11"/>
  <c r="K874" s="1"/>
  <c r="H875" s="1"/>
  <c r="K875" s="1"/>
  <c r="K876" s="1"/>
  <c r="F877" s="1"/>
  <c r="K878" s="1"/>
  <c r="L168" i="14" s="1"/>
  <c r="M168" s="1"/>
  <c r="J44" i="6"/>
  <c r="J22"/>
  <c r="J21"/>
  <c r="J19"/>
  <c r="D24"/>
  <c r="J23"/>
  <c r="K852" i="11"/>
  <c r="I24" i="6"/>
  <c r="K854" i="11"/>
  <c r="H168" i="19"/>
  <c r="K22" i="11"/>
  <c r="I22"/>
  <c r="M308" i="18"/>
  <c r="K87" i="6" s="1"/>
  <c r="Q308" i="18"/>
  <c r="D87" i="6" s="1"/>
  <c r="R308" i="18"/>
  <c r="E87" i="6" s="1"/>
  <c r="H87" s="1"/>
  <c r="S308" i="18"/>
  <c r="I87" i="6" s="1"/>
  <c r="L309" i="18"/>
  <c r="L310"/>
  <c r="L307"/>
  <c r="E24" i="6"/>
  <c r="H24" s="1"/>
  <c r="H23"/>
  <c r="J20"/>
  <c r="J212" i="11"/>
  <c r="J18" i="6"/>
  <c r="J237" i="11"/>
  <c r="S123" i="18"/>
  <c r="I43" i="6" s="1"/>
  <c r="R123" i="18"/>
  <c r="E43" i="6" s="1"/>
  <c r="H43" s="1"/>
  <c r="Q123" i="18"/>
  <c r="D43" i="6" s="1"/>
  <c r="M123" i="18"/>
  <c r="K43" i="6" s="1"/>
  <c r="S122" i="18"/>
  <c r="I42" i="6" s="1"/>
  <c r="R122" i="18"/>
  <c r="E42" i="6" s="1"/>
  <c r="H42" s="1"/>
  <c r="Q122" i="18"/>
  <c r="D42" i="6" s="1"/>
  <c r="M122" i="18"/>
  <c r="K42" i="6" s="1"/>
  <c r="S121" i="18"/>
  <c r="I41" i="6" s="1"/>
  <c r="R121" i="18"/>
  <c r="E41" i="6" s="1"/>
  <c r="H41" s="1"/>
  <c r="Q121" i="18"/>
  <c r="D41" i="6" s="1"/>
  <c r="M121" i="18"/>
  <c r="K41" i="6" s="1"/>
  <c r="S120" i="18"/>
  <c r="I40" i="6" s="1"/>
  <c r="R120" i="18"/>
  <c r="E40" i="6" s="1"/>
  <c r="H40" s="1"/>
  <c r="Q120" i="18"/>
  <c r="D40" i="6" s="1"/>
  <c r="M120" i="18"/>
  <c r="K40" i="6" s="1"/>
  <c r="S118" i="18"/>
  <c r="I38" i="6" s="1"/>
  <c r="R118" i="18"/>
  <c r="E38" i="6" s="1"/>
  <c r="H38" s="1"/>
  <c r="Q118" i="18"/>
  <c r="D38" i="6" s="1"/>
  <c r="M118" i="18"/>
  <c r="K38" i="6" s="1"/>
  <c r="S117" i="18"/>
  <c r="I37" i="6" s="1"/>
  <c r="R117" i="18"/>
  <c r="E37" i="6" s="1"/>
  <c r="H37" s="1"/>
  <c r="Q117" i="18"/>
  <c r="D37" i="6" s="1"/>
  <c r="M117" i="18"/>
  <c r="K37" i="6" s="1"/>
  <c r="S116" i="18"/>
  <c r="I36" i="6" s="1"/>
  <c r="R116" i="18"/>
  <c r="E36" i="6" s="1"/>
  <c r="H36" s="1"/>
  <c r="Q116" i="18"/>
  <c r="D36" i="6" s="1"/>
  <c r="M116" i="18"/>
  <c r="K36" i="6" s="1"/>
  <c r="S115" i="18"/>
  <c r="I35" i="6" s="1"/>
  <c r="R115" i="18"/>
  <c r="E35" i="6" s="1"/>
  <c r="H35" s="1"/>
  <c r="Q115" i="18"/>
  <c r="D35" i="6" s="1"/>
  <c r="M115" i="18"/>
  <c r="K35" i="6" s="1"/>
  <c r="S110" i="18"/>
  <c r="I30" i="6" s="1"/>
  <c r="R110" i="18"/>
  <c r="E30" i="6" s="1"/>
  <c r="H30" s="1"/>
  <c r="Q110" i="18"/>
  <c r="D30" i="6" s="1"/>
  <c r="M110" i="18"/>
  <c r="K30" i="6" s="1"/>
  <c r="S111" i="18"/>
  <c r="I31" i="6" s="1"/>
  <c r="R111" i="18"/>
  <c r="E31" i="6" s="1"/>
  <c r="H31" s="1"/>
  <c r="Q111" i="18"/>
  <c r="D31" i="6" s="1"/>
  <c r="M111" i="18"/>
  <c r="K31" i="6" s="1"/>
  <c r="S112" i="18"/>
  <c r="I32" i="6" s="1"/>
  <c r="R112" i="18"/>
  <c r="E32" i="6" s="1"/>
  <c r="H32" s="1"/>
  <c r="Q112" i="18"/>
  <c r="D32" i="6" s="1"/>
  <c r="M112" i="18"/>
  <c r="K32" i="6" s="1"/>
  <c r="S113" i="18"/>
  <c r="I33" i="6" s="1"/>
  <c r="R113" i="18"/>
  <c r="E33" i="6" s="1"/>
  <c r="H33" s="1"/>
  <c r="Q113" i="18"/>
  <c r="D33" i="6" s="1"/>
  <c r="M113" i="18"/>
  <c r="K33" i="6" s="1"/>
  <c r="S109" i="18"/>
  <c r="I29" i="6" s="1"/>
  <c r="R109" i="18"/>
  <c r="E29" i="6" s="1"/>
  <c r="H29" s="1"/>
  <c r="Q109" i="18"/>
  <c r="D29" i="6" s="1"/>
  <c r="M109" i="18"/>
  <c r="K29" i="6" s="1"/>
  <c r="L312" i="18"/>
  <c r="AA77" i="19" l="1"/>
  <c r="AB77"/>
  <c r="I77"/>
  <c r="AC77"/>
  <c r="G78"/>
  <c r="W75"/>
  <c r="X75" s="1"/>
  <c r="Y75" s="1"/>
  <c r="Z75" s="1"/>
  <c r="F100"/>
  <c r="S100"/>
  <c r="E100"/>
  <c r="R100"/>
  <c r="V76"/>
  <c r="N76"/>
  <c r="A100"/>
  <c r="K877" i="11"/>
  <c r="J24" i="6"/>
  <c r="J29"/>
  <c r="J33"/>
  <c r="J32"/>
  <c r="J31"/>
  <c r="J30"/>
  <c r="J35"/>
  <c r="J36"/>
  <c r="J37"/>
  <c r="J38"/>
  <c r="J40"/>
  <c r="J41"/>
  <c r="J42"/>
  <c r="J43"/>
  <c r="D854" i="11"/>
  <c r="D872"/>
  <c r="K855"/>
  <c r="K856" s="1"/>
  <c r="H169" i="19"/>
  <c r="M312" i="18"/>
  <c r="K91" i="6" s="1"/>
  <c r="Q312" i="18"/>
  <c r="D91" i="6" s="1"/>
  <c r="R312" i="18"/>
  <c r="E91" i="6" s="1"/>
  <c r="H91" s="1"/>
  <c r="S312" i="18"/>
  <c r="I91" i="6" s="1"/>
  <c r="M307" i="18"/>
  <c r="K86" i="6" s="1"/>
  <c r="Q307" i="18"/>
  <c r="D86" i="6" s="1"/>
  <c r="R307" i="18"/>
  <c r="E86" i="6" s="1"/>
  <c r="H86" s="1"/>
  <c r="S307" i="18"/>
  <c r="I86" i="6" s="1"/>
  <c r="M310" i="18"/>
  <c r="K89" i="6" s="1"/>
  <c r="Q310" i="18"/>
  <c r="D89" i="6" s="1"/>
  <c r="R310" i="18"/>
  <c r="E89" i="6" s="1"/>
  <c r="H89" s="1"/>
  <c r="S310" i="18"/>
  <c r="I89" i="6" s="1"/>
  <c r="M309" i="18"/>
  <c r="K88" i="6" s="1"/>
  <c r="Q309" i="18"/>
  <c r="D88" i="6" s="1"/>
  <c r="R309" i="18"/>
  <c r="E88" i="6" s="1"/>
  <c r="H88" s="1"/>
  <c r="S309" i="18"/>
  <c r="I88" i="6" s="1"/>
  <c r="J87"/>
  <c r="M1303" i="11"/>
  <c r="I1302"/>
  <c r="M1302" s="1"/>
  <c r="I1301"/>
  <c r="I1300"/>
  <c r="I1292"/>
  <c r="I1291"/>
  <c r="I1290"/>
  <c r="I1284"/>
  <c r="I1283"/>
  <c r="I1282"/>
  <c r="I1276"/>
  <c r="I1275"/>
  <c r="I1274"/>
  <c r="I1268"/>
  <c r="I1267"/>
  <c r="I1266"/>
  <c r="I1260"/>
  <c r="I1259"/>
  <c r="Q1229"/>
  <c r="C1100"/>
  <c r="C1089"/>
  <c r="C1074"/>
  <c r="C1061"/>
  <c r="C1045"/>
  <c r="C1031"/>
  <c r="H1039"/>
  <c r="F1039"/>
  <c r="K1025"/>
  <c r="H1010"/>
  <c r="F1010"/>
  <c r="C1015"/>
  <c r="C999"/>
  <c r="K988"/>
  <c r="AB78" i="19" l="1"/>
  <c r="AC78"/>
  <c r="AA78"/>
  <c r="I78"/>
  <c r="G79"/>
  <c r="W76"/>
  <c r="X76" s="1"/>
  <c r="Y76" s="1"/>
  <c r="Z76" s="1"/>
  <c r="A101"/>
  <c r="S101"/>
  <c r="E101"/>
  <c r="R101"/>
  <c r="F101"/>
  <c r="N77"/>
  <c r="V77"/>
  <c r="K857" i="11"/>
  <c r="K858" s="1"/>
  <c r="K859" s="1"/>
  <c r="L166" i="14" s="1"/>
  <c r="M166" s="1"/>
  <c r="H170" i="19"/>
  <c r="J88" i="6"/>
  <c r="J216" i="11"/>
  <c r="J91" i="6"/>
  <c r="J241" i="11"/>
  <c r="J228"/>
  <c r="J89" i="6"/>
  <c r="J86"/>
  <c r="K1010" i="11"/>
  <c r="K1277"/>
  <c r="M1269"/>
  <c r="M1261"/>
  <c r="K1039"/>
  <c r="K1038"/>
  <c r="K1009"/>
  <c r="F1026"/>
  <c r="K1026" s="1"/>
  <c r="C968"/>
  <c r="H994"/>
  <c r="F993"/>
  <c r="H993" s="1"/>
  <c r="W77" i="19" l="1"/>
  <c r="X77" s="1"/>
  <c r="Y77" s="1"/>
  <c r="Z77" s="1"/>
  <c r="S102"/>
  <c r="E102"/>
  <c r="R102"/>
  <c r="F102"/>
  <c r="G80"/>
  <c r="AB79"/>
  <c r="I79"/>
  <c r="AA79"/>
  <c r="AC79"/>
  <c r="V78"/>
  <c r="N78"/>
  <c r="A102"/>
  <c r="H171"/>
  <c r="K1285" i="11"/>
  <c r="M1277"/>
  <c r="N79" i="19" l="1"/>
  <c r="V79"/>
  <c r="W78"/>
  <c r="X78" s="1"/>
  <c r="Y78" s="1"/>
  <c r="Z78" s="1"/>
  <c r="A103"/>
  <c r="E103"/>
  <c r="R103"/>
  <c r="F103"/>
  <c r="S103"/>
  <c r="AB80"/>
  <c r="G81"/>
  <c r="AA80"/>
  <c r="AC80"/>
  <c r="I80"/>
  <c r="H172"/>
  <c r="M1285" i="11"/>
  <c r="V80" i="19" l="1"/>
  <c r="N80"/>
  <c r="G82"/>
  <c r="AC81"/>
  <c r="I81"/>
  <c r="AA81"/>
  <c r="AB81"/>
  <c r="W79"/>
  <c r="X79" s="1"/>
  <c r="Y79" s="1"/>
  <c r="Z79" s="1"/>
  <c r="R104"/>
  <c r="F104"/>
  <c r="S104"/>
  <c r="E104"/>
  <c r="A104"/>
  <c r="A105" s="1"/>
  <c r="H173"/>
  <c r="M1293" i="11"/>
  <c r="S105" i="19" l="1"/>
  <c r="E105"/>
  <c r="R105"/>
  <c r="F105"/>
  <c r="AC82"/>
  <c r="I82"/>
  <c r="AA82"/>
  <c r="G83"/>
  <c r="AB82"/>
  <c r="A106"/>
  <c r="W80"/>
  <c r="X80" s="1"/>
  <c r="Y80" s="1"/>
  <c r="Z80" s="1"/>
  <c r="V81"/>
  <c r="N81"/>
  <c r="H174"/>
  <c r="K993" i="11"/>
  <c r="F994"/>
  <c r="K994" s="1"/>
  <c r="AB83" i="19" l="1"/>
  <c r="AA83"/>
  <c r="I83"/>
  <c r="G84"/>
  <c r="AC83"/>
  <c r="V82"/>
  <c r="N82"/>
  <c r="R106"/>
  <c r="F106"/>
  <c r="S106"/>
  <c r="E106"/>
  <c r="W81"/>
  <c r="X81" s="1"/>
  <c r="Y81" s="1"/>
  <c r="Z81" s="1"/>
  <c r="A107"/>
  <c r="H175"/>
  <c r="C984" i="11"/>
  <c r="B984"/>
  <c r="C950"/>
  <c r="B907"/>
  <c r="P808"/>
  <c r="K811"/>
  <c r="C808"/>
  <c r="B808"/>
  <c r="C807"/>
  <c r="B807"/>
  <c r="C806"/>
  <c r="B806"/>
  <c r="E107" i="19" l="1"/>
  <c r="R107"/>
  <c r="F107"/>
  <c r="A108"/>
  <c r="S107"/>
  <c r="V83"/>
  <c r="N83"/>
  <c r="W82"/>
  <c r="X82" s="1"/>
  <c r="Y82" s="1"/>
  <c r="Z82" s="1"/>
  <c r="I84"/>
  <c r="AB84"/>
  <c r="G85"/>
  <c r="AA84"/>
  <c r="AC84"/>
  <c r="H176"/>
  <c r="S771" i="11"/>
  <c r="S773" s="1"/>
  <c r="U759"/>
  <c r="U761" s="1"/>
  <c r="S759"/>
  <c r="S761" s="1"/>
  <c r="C909"/>
  <c r="B909"/>
  <c r="K803"/>
  <c r="K800"/>
  <c r="K799"/>
  <c r="C798"/>
  <c r="B798"/>
  <c r="H790"/>
  <c r="K794"/>
  <c r="K793"/>
  <c r="K792"/>
  <c r="K791"/>
  <c r="F789"/>
  <c r="C782"/>
  <c r="B782"/>
  <c r="P773"/>
  <c r="I774" s="1"/>
  <c r="K774" s="1"/>
  <c r="P772"/>
  <c r="K778"/>
  <c r="K777"/>
  <c r="K776"/>
  <c r="K775"/>
  <c r="K772"/>
  <c r="K771"/>
  <c r="C770"/>
  <c r="B770"/>
  <c r="P761"/>
  <c r="K762" s="1"/>
  <c r="P760"/>
  <c r="K761" s="1"/>
  <c r="K765"/>
  <c r="K760"/>
  <c r="K766"/>
  <c r="K764"/>
  <c r="K763"/>
  <c r="K759"/>
  <c r="B756"/>
  <c r="A756"/>
  <c r="C758"/>
  <c r="B758"/>
  <c r="C757"/>
  <c r="B757"/>
  <c r="V84" i="19" l="1"/>
  <c r="N84"/>
  <c r="I85"/>
  <c r="AA85"/>
  <c r="AB85"/>
  <c r="G86"/>
  <c r="AC85"/>
  <c r="W83"/>
  <c r="X83" s="1"/>
  <c r="Y83" s="1"/>
  <c r="Z83" s="1"/>
  <c r="S108"/>
  <c r="E108"/>
  <c r="R108"/>
  <c r="F108"/>
  <c r="F790" i="11"/>
  <c r="K790" s="1"/>
  <c r="H789"/>
  <c r="K789" s="1"/>
  <c r="I773"/>
  <c r="K773" s="1"/>
  <c r="K779" s="1"/>
  <c r="K780" s="1"/>
  <c r="L146" i="14" s="1"/>
  <c r="M146" s="1"/>
  <c r="H177" i="19"/>
  <c r="K804" i="11"/>
  <c r="L148" i="14" s="1"/>
  <c r="M148" s="1"/>
  <c r="K767" i="11"/>
  <c r="K768" s="1"/>
  <c r="L145" i="14" s="1"/>
  <c r="M145" s="1"/>
  <c r="W84" i="19" l="1"/>
  <c r="X84" s="1"/>
  <c r="Y84" s="1"/>
  <c r="Z84" s="1"/>
  <c r="R109"/>
  <c r="F109"/>
  <c r="S109"/>
  <c r="E109"/>
  <c r="AB86"/>
  <c r="AA86"/>
  <c r="G87"/>
  <c r="AC86"/>
  <c r="I86"/>
  <c r="A109"/>
  <c r="A110" s="1"/>
  <c r="V85"/>
  <c r="N85"/>
  <c r="H178"/>
  <c r="J743" i="11"/>
  <c r="J737"/>
  <c r="C739"/>
  <c r="B739"/>
  <c r="S110" i="19" l="1"/>
  <c r="E110"/>
  <c r="R110"/>
  <c r="F110"/>
  <c r="A111"/>
  <c r="AA87"/>
  <c r="AB87"/>
  <c r="G88"/>
  <c r="AC87"/>
  <c r="I87"/>
  <c r="W85"/>
  <c r="X85" s="1"/>
  <c r="Y85" s="1"/>
  <c r="Z85" s="1"/>
  <c r="V86"/>
  <c r="N86"/>
  <c r="H179"/>
  <c r="C733" i="11"/>
  <c r="B733"/>
  <c r="AA88" i="19" l="1"/>
  <c r="AC88"/>
  <c r="I88"/>
  <c r="G89"/>
  <c r="AB88"/>
  <c r="F111"/>
  <c r="S111"/>
  <c r="E111"/>
  <c r="R111"/>
  <c r="A112"/>
  <c r="W86"/>
  <c r="X86" s="1"/>
  <c r="Y86" s="1"/>
  <c r="Z86" s="1"/>
  <c r="V87"/>
  <c r="N87"/>
  <c r="H180"/>
  <c r="C732" i="11"/>
  <c r="B732"/>
  <c r="H729"/>
  <c r="F728"/>
  <c r="B722"/>
  <c r="C721"/>
  <c r="B721"/>
  <c r="R112" i="19" l="1"/>
  <c r="S112"/>
  <c r="F112"/>
  <c r="E112"/>
  <c r="I89"/>
  <c r="AA89"/>
  <c r="G90"/>
  <c r="AB89"/>
  <c r="AC89"/>
  <c r="W87"/>
  <c r="X87" s="1"/>
  <c r="Y87" s="1"/>
  <c r="Z87" s="1"/>
  <c r="V88"/>
  <c r="N88"/>
  <c r="A113"/>
  <c r="F729" i="11"/>
  <c r="K729" s="1"/>
  <c r="H728"/>
  <c r="K728" s="1"/>
  <c r="H181" i="19"/>
  <c r="F113" l="1"/>
  <c r="S113"/>
  <c r="E113"/>
  <c r="R113"/>
  <c r="V89"/>
  <c r="N89"/>
  <c r="A114"/>
  <c r="W88"/>
  <c r="X88" s="1"/>
  <c r="Y88" s="1"/>
  <c r="Z88" s="1"/>
  <c r="AA90"/>
  <c r="AB90"/>
  <c r="G91"/>
  <c r="AC90"/>
  <c r="I90"/>
  <c r="H182"/>
  <c r="F716" i="11"/>
  <c r="H716" s="1"/>
  <c r="F702"/>
  <c r="H702" s="1"/>
  <c r="V90" i="19" l="1"/>
  <c r="N90"/>
  <c r="W89"/>
  <c r="X89" s="1"/>
  <c r="Y89" s="1"/>
  <c r="Z89" s="1"/>
  <c r="I91"/>
  <c r="AB91"/>
  <c r="AA91"/>
  <c r="G92"/>
  <c r="AC91"/>
  <c r="F114"/>
  <c r="S114"/>
  <c r="E114"/>
  <c r="R114"/>
  <c r="A115"/>
  <c r="H183"/>
  <c r="H717" i="11"/>
  <c r="H703"/>
  <c r="V91" i="19" l="1"/>
  <c r="N91"/>
  <c r="W90"/>
  <c r="X90" s="1"/>
  <c r="Y90" s="1"/>
  <c r="Z90" s="1"/>
  <c r="E115"/>
  <c r="R115"/>
  <c r="F115"/>
  <c r="S115"/>
  <c r="G93"/>
  <c r="AB92"/>
  <c r="AC92"/>
  <c r="I92"/>
  <c r="AA92"/>
  <c r="H184"/>
  <c r="K718" i="11"/>
  <c r="K716"/>
  <c r="H707"/>
  <c r="K704"/>
  <c r="K702"/>
  <c r="C691"/>
  <c r="B691"/>
  <c r="H683"/>
  <c r="P685"/>
  <c r="H685" s="1"/>
  <c r="K685" s="1"/>
  <c r="P684"/>
  <c r="H684" s="1"/>
  <c r="K684" s="1"/>
  <c r="R681"/>
  <c r="S681" s="1"/>
  <c r="P681"/>
  <c r="Q681" s="1"/>
  <c r="P679"/>
  <c r="P678"/>
  <c r="P686"/>
  <c r="H688"/>
  <c r="F682"/>
  <c r="G94" i="19" l="1"/>
  <c r="AA93"/>
  <c r="AB93"/>
  <c r="AC93"/>
  <c r="I93"/>
  <c r="A116"/>
  <c r="E116"/>
  <c r="R116"/>
  <c r="F116"/>
  <c r="S116"/>
  <c r="N92"/>
  <c r="V92"/>
  <c r="W91"/>
  <c r="X91" s="1"/>
  <c r="Y91" s="1"/>
  <c r="Z91" s="1"/>
  <c r="F683" i="11"/>
  <c r="K683" s="1"/>
  <c r="H682"/>
  <c r="K682" s="1"/>
  <c r="H185" i="19"/>
  <c r="S682" i="11"/>
  <c r="F703"/>
  <c r="K703" s="1"/>
  <c r="F717"/>
  <c r="K717" s="1"/>
  <c r="V93" i="19" l="1"/>
  <c r="N93"/>
  <c r="AC94"/>
  <c r="I94"/>
  <c r="AA94"/>
  <c r="AB94"/>
  <c r="G95"/>
  <c r="W92"/>
  <c r="X92" s="1"/>
  <c r="Y92" s="1"/>
  <c r="Z92" s="1"/>
  <c r="R117"/>
  <c r="S117"/>
  <c r="F117"/>
  <c r="E117"/>
  <c r="A117"/>
  <c r="A118" s="1"/>
  <c r="H186"/>
  <c r="C676" i="11"/>
  <c r="B676"/>
  <c r="C675"/>
  <c r="B675"/>
  <c r="H656"/>
  <c r="M1204"/>
  <c r="F655"/>
  <c r="K649"/>
  <c r="B647"/>
  <c r="H644"/>
  <c r="F643"/>
  <c r="K637"/>
  <c r="B635"/>
  <c r="H632"/>
  <c r="S118" i="19" l="1"/>
  <c r="R118"/>
  <c r="F118"/>
  <c r="E118"/>
  <c r="AB95"/>
  <c r="AC95"/>
  <c r="I95"/>
  <c r="G96"/>
  <c r="AA95"/>
  <c r="A119"/>
  <c r="V94"/>
  <c r="N94"/>
  <c r="W93"/>
  <c r="X93" s="1"/>
  <c r="Y93" s="1"/>
  <c r="Z93" s="1"/>
  <c r="H187"/>
  <c r="F644" i="11"/>
  <c r="H643"/>
  <c r="K643" s="1"/>
  <c r="F656"/>
  <c r="K656" s="1"/>
  <c r="H655"/>
  <c r="K655" s="1"/>
  <c r="K644"/>
  <c r="W94" i="19" l="1"/>
  <c r="X94" s="1"/>
  <c r="Y94" s="1"/>
  <c r="Z94" s="1"/>
  <c r="I96"/>
  <c r="AA96"/>
  <c r="AB96"/>
  <c r="AC96"/>
  <c r="G97"/>
  <c r="F119"/>
  <c r="S119"/>
  <c r="E119"/>
  <c r="R119"/>
  <c r="V95"/>
  <c r="N95"/>
  <c r="A120"/>
  <c r="H188"/>
  <c r="E120" l="1"/>
  <c r="F120"/>
  <c r="A121"/>
  <c r="R120"/>
  <c r="S120"/>
  <c r="G98"/>
  <c r="AA97"/>
  <c r="AB97"/>
  <c r="AC97"/>
  <c r="I97"/>
  <c r="V96"/>
  <c r="N96"/>
  <c r="W95"/>
  <c r="X95" s="1"/>
  <c r="Y95" s="1"/>
  <c r="Z95" s="1"/>
  <c r="H189"/>
  <c r="K625" i="11"/>
  <c r="W96" i="19" l="1"/>
  <c r="X96" s="1"/>
  <c r="Y96" s="1"/>
  <c r="Z96" s="1"/>
  <c r="S121"/>
  <c r="R121"/>
  <c r="E121"/>
  <c r="A122"/>
  <c r="F121"/>
  <c r="V97"/>
  <c r="N97"/>
  <c r="AB98"/>
  <c r="AC98"/>
  <c r="I98"/>
  <c r="G99"/>
  <c r="AA98"/>
  <c r="H190"/>
  <c r="K632" i="11"/>
  <c r="K631"/>
  <c r="I99" i="19" l="1"/>
  <c r="G100"/>
  <c r="AA99"/>
  <c r="AB99"/>
  <c r="AC99"/>
  <c r="W97"/>
  <c r="S122"/>
  <c r="R122"/>
  <c r="F122"/>
  <c r="A123"/>
  <c r="E122"/>
  <c r="V98"/>
  <c r="N98"/>
  <c r="X97"/>
  <c r="Y97" s="1"/>
  <c r="Z97" s="1"/>
  <c r="H191"/>
  <c r="B623" i="11"/>
  <c r="C622"/>
  <c r="B622"/>
  <c r="H594"/>
  <c r="J594" s="1"/>
  <c r="B592"/>
  <c r="H577"/>
  <c r="J577" s="1"/>
  <c r="B575"/>
  <c r="H560"/>
  <c r="J560" s="1"/>
  <c r="B558"/>
  <c r="H543"/>
  <c r="J543" s="1"/>
  <c r="B541"/>
  <c r="J512"/>
  <c r="H515"/>
  <c r="J513"/>
  <c r="C510"/>
  <c r="B510"/>
  <c r="J500"/>
  <c r="H503"/>
  <c r="J501"/>
  <c r="C498"/>
  <c r="B498"/>
  <c r="W98" i="19" l="1"/>
  <c r="X98" s="1"/>
  <c r="Y98" s="1"/>
  <c r="Z98" s="1"/>
  <c r="V99"/>
  <c r="N99"/>
  <c r="AB100"/>
  <c r="AC100"/>
  <c r="I100"/>
  <c r="G101"/>
  <c r="AA100"/>
  <c r="A124"/>
  <c r="F123"/>
  <c r="E123"/>
  <c r="S123"/>
  <c r="R123"/>
  <c r="H192"/>
  <c r="J514" i="11"/>
  <c r="F515" s="1"/>
  <c r="J502"/>
  <c r="J503" s="1"/>
  <c r="F124" i="19" l="1"/>
  <c r="E124"/>
  <c r="S124"/>
  <c r="R124"/>
  <c r="V100"/>
  <c r="N100"/>
  <c r="G102"/>
  <c r="AA101"/>
  <c r="AB101"/>
  <c r="AC101"/>
  <c r="I101"/>
  <c r="W99"/>
  <c r="X99" s="1"/>
  <c r="Y99" s="1"/>
  <c r="Z99" s="1"/>
  <c r="A125"/>
  <c r="H193"/>
  <c r="J515" i="11"/>
  <c r="F503"/>
  <c r="B524"/>
  <c r="H526"/>
  <c r="J526" s="1"/>
  <c r="C523"/>
  <c r="B523"/>
  <c r="C522"/>
  <c r="B522"/>
  <c r="B521"/>
  <c r="A521"/>
  <c r="C484"/>
  <c r="B484"/>
  <c r="C443"/>
  <c r="C396"/>
  <c r="B443"/>
  <c r="B396"/>
  <c r="B349"/>
  <c r="C348"/>
  <c r="B348"/>
  <c r="C273"/>
  <c r="B273"/>
  <c r="B302"/>
  <c r="C302"/>
  <c r="C272"/>
  <c r="B272"/>
  <c r="C175"/>
  <c r="B175"/>
  <c r="C169"/>
  <c r="B169"/>
  <c r="C168"/>
  <c r="B168"/>
  <c r="A7"/>
  <c r="B102"/>
  <c r="H69"/>
  <c r="C125"/>
  <c r="B117"/>
  <c r="B111"/>
  <c r="W100" i="19" l="1"/>
  <c r="X100" s="1"/>
  <c r="Y100" s="1"/>
  <c r="Z100" s="1"/>
  <c r="N101"/>
  <c r="V101"/>
  <c r="AB102"/>
  <c r="AC102"/>
  <c r="I102"/>
  <c r="G103"/>
  <c r="AA102"/>
  <c r="E125"/>
  <c r="S125"/>
  <c r="R125"/>
  <c r="F125"/>
  <c r="H194"/>
  <c r="C84" i="11"/>
  <c r="B84"/>
  <c r="B33"/>
  <c r="B19"/>
  <c r="B7"/>
  <c r="V102" i="19" l="1"/>
  <c r="N102"/>
  <c r="A126"/>
  <c r="S126"/>
  <c r="E126"/>
  <c r="F126"/>
  <c r="R126"/>
  <c r="AA103"/>
  <c r="AB103"/>
  <c r="AC103"/>
  <c r="I103"/>
  <c r="G104"/>
  <c r="W101"/>
  <c r="X101" s="1"/>
  <c r="Y101" s="1"/>
  <c r="Z101" s="1"/>
  <c r="H195"/>
  <c r="J287" i="11"/>
  <c r="G287"/>
  <c r="J286"/>
  <c r="J312"/>
  <c r="H118"/>
  <c r="A127" i="19" l="1"/>
  <c r="R127"/>
  <c r="E127"/>
  <c r="F127"/>
  <c r="S127"/>
  <c r="W102"/>
  <c r="V103"/>
  <c r="N103"/>
  <c r="AB104"/>
  <c r="I104"/>
  <c r="AA104"/>
  <c r="AC104"/>
  <c r="G105"/>
  <c r="X102"/>
  <c r="Y102" s="1"/>
  <c r="Z102" s="1"/>
  <c r="J288" i="11"/>
  <c r="H196" i="19"/>
  <c r="AA105" l="1"/>
  <c r="AB105"/>
  <c r="AC105"/>
  <c r="I105"/>
  <c r="G106"/>
  <c r="N104"/>
  <c r="V104"/>
  <c r="W103"/>
  <c r="X103" s="1"/>
  <c r="Y103" s="1"/>
  <c r="Z103" s="1"/>
  <c r="A128"/>
  <c r="R128"/>
  <c r="S128"/>
  <c r="F128"/>
  <c r="E128"/>
  <c r="H197"/>
  <c r="J156" i="11"/>
  <c r="A129" i="19" l="1"/>
  <c r="A130" s="1"/>
  <c r="AA106"/>
  <c r="AB106"/>
  <c r="AC106"/>
  <c r="I106"/>
  <c r="G107"/>
  <c r="W104"/>
  <c r="X104" s="1"/>
  <c r="Y104" s="1"/>
  <c r="Z104" s="1"/>
  <c r="R129"/>
  <c r="S129"/>
  <c r="E129"/>
  <c r="F129"/>
  <c r="N105"/>
  <c r="V105"/>
  <c r="H198"/>
  <c r="AA107" l="1"/>
  <c r="AB107"/>
  <c r="AC107"/>
  <c r="I107"/>
  <c r="G108"/>
  <c r="W105"/>
  <c r="X105" s="1"/>
  <c r="Y105" s="1"/>
  <c r="Z105" s="1"/>
  <c r="F130"/>
  <c r="R130"/>
  <c r="E130"/>
  <c r="S130"/>
  <c r="V106"/>
  <c r="N106"/>
  <c r="A131"/>
  <c r="H199"/>
  <c r="H104" i="11"/>
  <c r="D104"/>
  <c r="H103"/>
  <c r="AC108" i="19" l="1"/>
  <c r="I108"/>
  <c r="G109"/>
  <c r="AA108"/>
  <c r="AB108"/>
  <c r="W106"/>
  <c r="X106" s="1"/>
  <c r="Y106" s="1"/>
  <c r="Z106" s="1"/>
  <c r="A132"/>
  <c r="R131"/>
  <c r="E131"/>
  <c r="F131"/>
  <c r="S131"/>
  <c r="V107"/>
  <c r="N107"/>
  <c r="H200"/>
  <c r="H105" i="11"/>
  <c r="H106" s="1"/>
  <c r="M137" s="1"/>
  <c r="G110" i="19" l="1"/>
  <c r="AA109"/>
  <c r="AB109"/>
  <c r="AC109"/>
  <c r="I109"/>
  <c r="W107"/>
  <c r="X107" s="1"/>
  <c r="Y107" s="1"/>
  <c r="Z107" s="1"/>
  <c r="S132"/>
  <c r="R132"/>
  <c r="E132"/>
  <c r="F132"/>
  <c r="V108"/>
  <c r="N108"/>
  <c r="H201"/>
  <c r="D106" i="11"/>
  <c r="H109"/>
  <c r="M140"/>
  <c r="L26" i="14" s="1"/>
  <c r="M26" s="1"/>
  <c r="F133" i="19" l="1"/>
  <c r="R133"/>
  <c r="E133"/>
  <c r="S133"/>
  <c r="A133"/>
  <c r="A134" s="1"/>
  <c r="W108"/>
  <c r="X108" s="1"/>
  <c r="Y108" s="1"/>
  <c r="Z108" s="1"/>
  <c r="N109"/>
  <c r="V109"/>
  <c r="AB110"/>
  <c r="AC110"/>
  <c r="I110"/>
  <c r="G111"/>
  <c r="AA110"/>
  <c r="H202"/>
  <c r="H85" i="11"/>
  <c r="V110" i="19" l="1"/>
  <c r="N110"/>
  <c r="S134"/>
  <c r="F134"/>
  <c r="E134"/>
  <c r="R134"/>
  <c r="AA111"/>
  <c r="AC111"/>
  <c r="AB111"/>
  <c r="I111"/>
  <c r="G112"/>
  <c r="W109"/>
  <c r="X109" s="1"/>
  <c r="Y109" s="1"/>
  <c r="Z109" s="1"/>
  <c r="A135"/>
  <c r="H203"/>
  <c r="C142" i="11"/>
  <c r="C132"/>
  <c r="N111" i="19" l="1"/>
  <c r="V111"/>
  <c r="G113"/>
  <c r="AA112"/>
  <c r="AB112"/>
  <c r="AC112"/>
  <c r="I112"/>
  <c r="R135"/>
  <c r="S135"/>
  <c r="F135"/>
  <c r="E135"/>
  <c r="W110"/>
  <c r="X110" s="1"/>
  <c r="Y110" s="1"/>
  <c r="Z110" s="1"/>
  <c r="A136"/>
  <c r="H204"/>
  <c r="H46" i="11"/>
  <c r="C68"/>
  <c r="B68"/>
  <c r="C37"/>
  <c r="B37"/>
  <c r="W111" i="19" l="1"/>
  <c r="X111" s="1"/>
  <c r="Y111" s="1"/>
  <c r="Z111" s="1"/>
  <c r="S136"/>
  <c r="E136"/>
  <c r="R136"/>
  <c r="F136"/>
  <c r="V112"/>
  <c r="N112"/>
  <c r="G114"/>
  <c r="AA113"/>
  <c r="AC113"/>
  <c r="I113"/>
  <c r="AB113"/>
  <c r="H205"/>
  <c r="C33" i="11"/>
  <c r="G25"/>
  <c r="N113" i="19" l="1"/>
  <c r="V113"/>
  <c r="W112"/>
  <c r="X112" s="1"/>
  <c r="Y112" s="1"/>
  <c r="Z112" s="1"/>
  <c r="I114"/>
  <c r="AA114"/>
  <c r="G115"/>
  <c r="AB114"/>
  <c r="AC114"/>
  <c r="F137"/>
  <c r="S137"/>
  <c r="R137"/>
  <c r="E137"/>
  <c r="A137"/>
  <c r="A138" s="1"/>
  <c r="H206"/>
  <c r="H207" s="1"/>
  <c r="H208" s="1"/>
  <c r="H209" s="1"/>
  <c r="I27" i="11"/>
  <c r="I30" s="1"/>
  <c r="AC115" i="19" l="1"/>
  <c r="AA115"/>
  <c r="G116"/>
  <c r="AB115"/>
  <c r="I115"/>
  <c r="S138"/>
  <c r="E138"/>
  <c r="F138"/>
  <c r="R138"/>
  <c r="W113"/>
  <c r="X113" s="1"/>
  <c r="Y113" s="1"/>
  <c r="Z113" s="1"/>
  <c r="V114"/>
  <c r="N114"/>
  <c r="I31" i="11"/>
  <c r="BE12" i="2"/>
  <c r="BD12"/>
  <c r="N115" i="19" l="1"/>
  <c r="V115"/>
  <c r="W114"/>
  <c r="X114" s="1"/>
  <c r="Y114" s="1"/>
  <c r="Z114" s="1"/>
  <c r="F139"/>
  <c r="E139"/>
  <c r="S139"/>
  <c r="R139"/>
  <c r="AC116"/>
  <c r="G117"/>
  <c r="AA116"/>
  <c r="AB116"/>
  <c r="I116"/>
  <c r="A139"/>
  <c r="A140" s="1"/>
  <c r="J446" i="11"/>
  <c r="J402"/>
  <c r="J449"/>
  <c r="J448"/>
  <c r="J447"/>
  <c r="H406"/>
  <c r="J403"/>
  <c r="J401"/>
  <c r="J400"/>
  <c r="J399"/>
  <c r="W115" i="19" l="1"/>
  <c r="X115" s="1"/>
  <c r="Y115" s="1"/>
  <c r="Z115" s="1"/>
  <c r="F140"/>
  <c r="R140"/>
  <c r="A141"/>
  <c r="S140"/>
  <c r="E140"/>
  <c r="AA117"/>
  <c r="AB117"/>
  <c r="AC117"/>
  <c r="I117"/>
  <c r="G118"/>
  <c r="N116"/>
  <c r="V116"/>
  <c r="H57" i="11"/>
  <c r="V117" i="19" l="1"/>
  <c r="N117"/>
  <c r="AB118"/>
  <c r="AC118"/>
  <c r="I118"/>
  <c r="G119"/>
  <c r="AA118"/>
  <c r="E141"/>
  <c r="S141"/>
  <c r="A142"/>
  <c r="F141"/>
  <c r="R141"/>
  <c r="W116"/>
  <c r="X116" s="1"/>
  <c r="Y116" s="1"/>
  <c r="Z116" s="1"/>
  <c r="G11" i="11"/>
  <c r="N118" i="19" l="1"/>
  <c r="V118"/>
  <c r="E142"/>
  <c r="R142"/>
  <c r="S142"/>
  <c r="F142"/>
  <c r="AC119"/>
  <c r="I119"/>
  <c r="G120"/>
  <c r="AA119"/>
  <c r="AB119"/>
  <c r="W117"/>
  <c r="X117" s="1"/>
  <c r="Y117" s="1"/>
  <c r="Z117" s="1"/>
  <c r="D87" i="11"/>
  <c r="AB120" i="19" l="1"/>
  <c r="AC120"/>
  <c r="I120"/>
  <c r="G121"/>
  <c r="AA120"/>
  <c r="W118"/>
  <c r="X118" s="1"/>
  <c r="Y118" s="1"/>
  <c r="Z118" s="1"/>
  <c r="V119"/>
  <c r="N119"/>
  <c r="A143"/>
  <c r="R143"/>
  <c r="E143"/>
  <c r="F143"/>
  <c r="S143"/>
  <c r="A144" l="1"/>
  <c r="V120"/>
  <c r="N120"/>
  <c r="F144"/>
  <c r="S144"/>
  <c r="E144"/>
  <c r="R144"/>
  <c r="W119"/>
  <c r="X119" s="1"/>
  <c r="Y119" s="1"/>
  <c r="Z119" s="1"/>
  <c r="AA121"/>
  <c r="G122"/>
  <c r="AC121"/>
  <c r="I121"/>
  <c r="AB121"/>
  <c r="H87" i="11"/>
  <c r="H88" s="1"/>
  <c r="D89" s="1"/>
  <c r="H89" s="1"/>
  <c r="H91" s="1"/>
  <c r="F145" i="19" l="1"/>
  <c r="E145"/>
  <c r="S145"/>
  <c r="R145"/>
  <c r="A145"/>
  <c r="A146" s="1"/>
  <c r="V121"/>
  <c r="N121"/>
  <c r="I122"/>
  <c r="AB122"/>
  <c r="AA122"/>
  <c r="G123"/>
  <c r="AC122"/>
  <c r="W120"/>
  <c r="X120" s="1"/>
  <c r="Y120" s="1"/>
  <c r="Z120" s="1"/>
  <c r="W121" l="1"/>
  <c r="X121" s="1"/>
  <c r="Y121" s="1"/>
  <c r="Z121" s="1"/>
  <c r="E146"/>
  <c r="R146"/>
  <c r="F146"/>
  <c r="S146"/>
  <c r="A147"/>
  <c r="AC123"/>
  <c r="I123"/>
  <c r="AA123"/>
  <c r="AB123"/>
  <c r="G124"/>
  <c r="V122"/>
  <c r="N122"/>
  <c r="H1107" i="11"/>
  <c r="K1110"/>
  <c r="K1109"/>
  <c r="K1108"/>
  <c r="F1106"/>
  <c r="H1096"/>
  <c r="F1095"/>
  <c r="P1070"/>
  <c r="H1069"/>
  <c r="K1070"/>
  <c r="F1068"/>
  <c r="G125" i="19" l="1"/>
  <c r="AC124"/>
  <c r="AB124"/>
  <c r="AA124"/>
  <c r="I124"/>
  <c r="W122"/>
  <c r="X122" s="1"/>
  <c r="Y122" s="1"/>
  <c r="Z122" s="1"/>
  <c r="V123"/>
  <c r="N123"/>
  <c r="F147"/>
  <c r="R147"/>
  <c r="S147"/>
  <c r="E147"/>
  <c r="A148"/>
  <c r="H1106" i="11"/>
  <c r="K1106" s="1"/>
  <c r="H1068"/>
  <c r="K1068" s="1"/>
  <c r="F1096"/>
  <c r="K1096" s="1"/>
  <c r="H1095"/>
  <c r="K1095" s="1"/>
  <c r="F1069"/>
  <c r="K1069" s="1"/>
  <c r="F1107"/>
  <c r="K1107" s="1"/>
  <c r="V124" i="19" l="1"/>
  <c r="N124"/>
  <c r="AC125"/>
  <c r="I125"/>
  <c r="AB125"/>
  <c r="AA125"/>
  <c r="G126"/>
  <c r="S148"/>
  <c r="R148"/>
  <c r="E148"/>
  <c r="F148"/>
  <c r="W123"/>
  <c r="X123" s="1"/>
  <c r="Y123" s="1"/>
  <c r="Z123" s="1"/>
  <c r="A149"/>
  <c r="Q976" i="11"/>
  <c r="Q975"/>
  <c r="Q974"/>
  <c r="Q973"/>
  <c r="Q970"/>
  <c r="Q969"/>
  <c r="AB126" i="19" l="1"/>
  <c r="G127"/>
  <c r="AA126"/>
  <c r="AC126"/>
  <c r="I126"/>
  <c r="V125"/>
  <c r="N125"/>
  <c r="E149"/>
  <c r="F149"/>
  <c r="R149"/>
  <c r="S149"/>
  <c r="W124"/>
  <c r="X124" s="1"/>
  <c r="Y124" s="1"/>
  <c r="Z124" s="1"/>
  <c r="A150"/>
  <c r="X16" i="4"/>
  <c r="K922" i="11"/>
  <c r="R150" i="19" l="1"/>
  <c r="E150"/>
  <c r="F150"/>
  <c r="S150"/>
  <c r="N126"/>
  <c r="V126"/>
  <c r="AC127"/>
  <c r="I127"/>
  <c r="AB127"/>
  <c r="AA127"/>
  <c r="G128"/>
  <c r="W125"/>
  <c r="X125" s="1"/>
  <c r="Y125" s="1"/>
  <c r="Z125" s="1"/>
  <c r="A151"/>
  <c r="C910" i="11"/>
  <c r="W126" i="19" l="1"/>
  <c r="X126" s="1"/>
  <c r="Y126" s="1"/>
  <c r="Z126" s="1"/>
  <c r="AA128"/>
  <c r="I128"/>
  <c r="AB128"/>
  <c r="G129"/>
  <c r="AC128"/>
  <c r="N127"/>
  <c r="V127"/>
  <c r="A152"/>
  <c r="E151"/>
  <c r="R151"/>
  <c r="S151"/>
  <c r="F151"/>
  <c r="J315" i="11"/>
  <c r="J316"/>
  <c r="G316"/>
  <c r="N128" i="19" l="1"/>
  <c r="V128"/>
  <c r="A153"/>
  <c r="R152"/>
  <c r="E152"/>
  <c r="F152"/>
  <c r="S152"/>
  <c r="W127"/>
  <c r="X127" s="1"/>
  <c r="Y127" s="1"/>
  <c r="Z127" s="1"/>
  <c r="AB129"/>
  <c r="I129"/>
  <c r="AA129"/>
  <c r="G130"/>
  <c r="AC129"/>
  <c r="J317" i="11"/>
  <c r="J310"/>
  <c r="J313" s="1"/>
  <c r="J314"/>
  <c r="AC130" i="19" l="1"/>
  <c r="G131"/>
  <c r="AA130"/>
  <c r="AB130"/>
  <c r="I130"/>
  <c r="V129"/>
  <c r="N129"/>
  <c r="S153"/>
  <c r="F153"/>
  <c r="R153"/>
  <c r="E153"/>
  <c r="W128"/>
  <c r="X128" s="1"/>
  <c r="Y128" s="1"/>
  <c r="Z128" s="1"/>
  <c r="Y20" i="4"/>
  <c r="Y21"/>
  <c r="Z21" s="1"/>
  <c r="X21"/>
  <c r="X20"/>
  <c r="X19"/>
  <c r="X17"/>
  <c r="W129" i="19" l="1"/>
  <c r="X129" s="1"/>
  <c r="Y129" s="1"/>
  <c r="Z129" s="1"/>
  <c r="N130"/>
  <c r="V130"/>
  <c r="E154"/>
  <c r="S154"/>
  <c r="F154"/>
  <c r="R154"/>
  <c r="AB131"/>
  <c r="AC131"/>
  <c r="I131"/>
  <c r="G132"/>
  <c r="AA131"/>
  <c r="A154"/>
  <c r="X15" i="4"/>
  <c r="X12"/>
  <c r="X11"/>
  <c r="X10"/>
  <c r="Y16" s="1"/>
  <c r="X9"/>
  <c r="Y17" s="1"/>
  <c r="S155" i="19" l="1"/>
  <c r="E155"/>
  <c r="F155"/>
  <c r="R155"/>
  <c r="V131"/>
  <c r="N131"/>
  <c r="I132"/>
  <c r="AA132"/>
  <c r="G133"/>
  <c r="AC132"/>
  <c r="AB132"/>
  <c r="W130"/>
  <c r="X130" s="1"/>
  <c r="Y130" s="1"/>
  <c r="Z130" s="1"/>
  <c r="A155"/>
  <c r="A156" s="1"/>
  <c r="J318" i="11"/>
  <c r="J289"/>
  <c r="Y12" i="4"/>
  <c r="W131" i="19" l="1"/>
  <c r="X131" s="1"/>
  <c r="Y131" s="1"/>
  <c r="Z131" s="1"/>
  <c r="F156"/>
  <c r="S156"/>
  <c r="R156"/>
  <c r="E156"/>
  <c r="I133"/>
  <c r="AB133"/>
  <c r="G134"/>
  <c r="AC133"/>
  <c r="AA133"/>
  <c r="V132"/>
  <c r="N132"/>
  <c r="K980" i="11"/>
  <c r="V37" i="4"/>
  <c r="W132" i="19" l="1"/>
  <c r="X132" s="1"/>
  <c r="Y132" s="1"/>
  <c r="Z132" s="1"/>
  <c r="E157"/>
  <c r="S157"/>
  <c r="F157"/>
  <c r="R157"/>
  <c r="I134"/>
  <c r="AA134"/>
  <c r="AB134"/>
  <c r="AC134"/>
  <c r="G135"/>
  <c r="A157"/>
  <c r="N133"/>
  <c r="V133"/>
  <c r="H919" i="11"/>
  <c r="F918"/>
  <c r="W133" i="19" l="1"/>
  <c r="X133" s="1"/>
  <c r="Y133" s="1"/>
  <c r="Z133" s="1"/>
  <c r="I135"/>
  <c r="AB135"/>
  <c r="G136"/>
  <c r="AC135"/>
  <c r="AA135"/>
  <c r="N134"/>
  <c r="V134"/>
  <c r="A158"/>
  <c r="R158"/>
  <c r="S158"/>
  <c r="E158"/>
  <c r="F158"/>
  <c r="H918" i="11"/>
  <c r="K918" s="1"/>
  <c r="F919"/>
  <c r="K919" s="1"/>
  <c r="W134" i="19" l="1"/>
  <c r="X134" s="1"/>
  <c r="Y134" s="1"/>
  <c r="Z134" s="1"/>
  <c r="S159"/>
  <c r="R159"/>
  <c r="E159"/>
  <c r="F159"/>
  <c r="G137"/>
  <c r="I136"/>
  <c r="AA136"/>
  <c r="AB136"/>
  <c r="AC136"/>
  <c r="A159"/>
  <c r="N135"/>
  <c r="V135"/>
  <c r="F361" i="11"/>
  <c r="F360"/>
  <c r="W135" i="19" l="1"/>
  <c r="X135" s="1"/>
  <c r="Y135" s="1"/>
  <c r="Z135" s="1"/>
  <c r="AB137"/>
  <c r="AA137"/>
  <c r="AC137"/>
  <c r="G138"/>
  <c r="I137"/>
  <c r="R160"/>
  <c r="E160"/>
  <c r="F160"/>
  <c r="S160"/>
  <c r="V136"/>
  <c r="N136"/>
  <c r="A160"/>
  <c r="A161" s="1"/>
  <c r="J487" i="11"/>
  <c r="J361"/>
  <c r="J360"/>
  <c r="J359"/>
  <c r="H490"/>
  <c r="J488"/>
  <c r="H363"/>
  <c r="J358"/>
  <c r="J357"/>
  <c r="W136" i="19" l="1"/>
  <c r="X136" s="1"/>
  <c r="Y136" s="1"/>
  <c r="Z136" s="1"/>
  <c r="F161"/>
  <c r="R161"/>
  <c r="E161"/>
  <c r="S161"/>
  <c r="AB138"/>
  <c r="I138"/>
  <c r="AA138"/>
  <c r="G139"/>
  <c r="AC138"/>
  <c r="N137"/>
  <c r="V137"/>
  <c r="M1244" i="11"/>
  <c r="M1234"/>
  <c r="I1231"/>
  <c r="I1230"/>
  <c r="I1229"/>
  <c r="M1224"/>
  <c r="M1214"/>
  <c r="M1193"/>
  <c r="M1194"/>
  <c r="V138" i="19" l="1"/>
  <c r="N138"/>
  <c r="W137"/>
  <c r="X137" s="1"/>
  <c r="Y137" s="1"/>
  <c r="Z137" s="1"/>
  <c r="G140"/>
  <c r="AC139"/>
  <c r="AA139"/>
  <c r="I139"/>
  <c r="AB139"/>
  <c r="A162"/>
  <c r="E162"/>
  <c r="F162"/>
  <c r="S162"/>
  <c r="R162"/>
  <c r="M1203" i="11"/>
  <c r="A163" i="19" l="1"/>
  <c r="W138"/>
  <c r="X138" s="1"/>
  <c r="Y138" s="1"/>
  <c r="Z138" s="1"/>
  <c r="E163"/>
  <c r="F163"/>
  <c r="R163"/>
  <c r="S163"/>
  <c r="N139"/>
  <c r="V139"/>
  <c r="AA140"/>
  <c r="G141"/>
  <c r="I140"/>
  <c r="AB140"/>
  <c r="AC140"/>
  <c r="M1213" i="11"/>
  <c r="W139" i="19" l="1"/>
  <c r="X139" s="1"/>
  <c r="Y139" s="1"/>
  <c r="Z139" s="1"/>
  <c r="R164"/>
  <c r="S164"/>
  <c r="F164"/>
  <c r="E164"/>
  <c r="G142"/>
  <c r="AA141"/>
  <c r="AC141"/>
  <c r="I141"/>
  <c r="AB141"/>
  <c r="N140"/>
  <c r="V140"/>
  <c r="A164"/>
  <c r="A165" s="1"/>
  <c r="M1223" i="11"/>
  <c r="W140" i="19" l="1"/>
  <c r="X140" s="1"/>
  <c r="Y140" s="1"/>
  <c r="Z140" s="1"/>
  <c r="V141"/>
  <c r="N141"/>
  <c r="G143"/>
  <c r="AC142"/>
  <c r="AA142"/>
  <c r="AB142"/>
  <c r="I142"/>
  <c r="R165"/>
  <c r="S165"/>
  <c r="E165"/>
  <c r="F165"/>
  <c r="A166"/>
  <c r="M1233" i="11"/>
  <c r="M1243"/>
  <c r="W141" i="19" l="1"/>
  <c r="X141" s="1"/>
  <c r="Y141" s="1"/>
  <c r="Z141" s="1"/>
  <c r="E166"/>
  <c r="S166"/>
  <c r="F166"/>
  <c r="R166"/>
  <c r="V142"/>
  <c r="N142"/>
  <c r="AB143"/>
  <c r="AC143"/>
  <c r="I143"/>
  <c r="G144"/>
  <c r="AA143"/>
  <c r="Y37" i="4"/>
  <c r="X28"/>
  <c r="W42"/>
  <c r="X42" s="1"/>
  <c r="W41"/>
  <c r="X41" s="1"/>
  <c r="N143" i="19" l="1"/>
  <c r="V143"/>
  <c r="F167"/>
  <c r="E167"/>
  <c r="R167"/>
  <c r="S167"/>
  <c r="A167"/>
  <c r="A168" s="1"/>
  <c r="AB144"/>
  <c r="AC144"/>
  <c r="I144"/>
  <c r="AA144"/>
  <c r="G145"/>
  <c r="W142"/>
  <c r="X142" s="1"/>
  <c r="Y142" s="1"/>
  <c r="Z142" s="1"/>
  <c r="J238" i="11"/>
  <c r="J239" s="1"/>
  <c r="J240" s="1"/>
  <c r="C1044"/>
  <c r="B1044"/>
  <c r="W143" i="19" l="1"/>
  <c r="X143" s="1"/>
  <c r="Y143" s="1"/>
  <c r="Z143" s="1"/>
  <c r="V144"/>
  <c r="N144"/>
  <c r="R168"/>
  <c r="S168"/>
  <c r="E168"/>
  <c r="F168"/>
  <c r="AA145"/>
  <c r="AC145"/>
  <c r="I145"/>
  <c r="G146"/>
  <c r="AB145"/>
  <c r="A169"/>
  <c r="B998" i="11"/>
  <c r="I146" i="19" l="1"/>
  <c r="AB146"/>
  <c r="G147"/>
  <c r="AC146"/>
  <c r="AA146"/>
  <c r="E169"/>
  <c r="F169"/>
  <c r="R169"/>
  <c r="S169"/>
  <c r="W144"/>
  <c r="X144" s="1"/>
  <c r="Y144" s="1"/>
  <c r="Z144" s="1"/>
  <c r="V145"/>
  <c r="N145"/>
  <c r="A170"/>
  <c r="B949" i="11"/>
  <c r="V146" i="19" l="1"/>
  <c r="N146"/>
  <c r="R170"/>
  <c r="S170"/>
  <c r="E170"/>
  <c r="F170"/>
  <c r="AA147"/>
  <c r="G148"/>
  <c r="AB147"/>
  <c r="AC147"/>
  <c r="I147"/>
  <c r="W145"/>
  <c r="X145" s="1"/>
  <c r="Y145" s="1"/>
  <c r="Z145" s="1"/>
  <c r="A171"/>
  <c r="C3" i="14"/>
  <c r="C3" i="13" s="1"/>
  <c r="W146" i="19" l="1"/>
  <c r="X146" s="1"/>
  <c r="Y146" s="1"/>
  <c r="Z146" s="1"/>
  <c r="F171"/>
  <c r="R171"/>
  <c r="S171"/>
  <c r="E171"/>
  <c r="V147"/>
  <c r="N147"/>
  <c r="W147" s="1"/>
  <c r="AC148"/>
  <c r="G149"/>
  <c r="AA148"/>
  <c r="AB148"/>
  <c r="I148"/>
  <c r="A172"/>
  <c r="H1056" i="11"/>
  <c r="X147" i="19" l="1"/>
  <c r="Y147" s="1"/>
  <c r="Z147" s="1"/>
  <c r="N148"/>
  <c r="W148" s="1"/>
  <c r="V148"/>
  <c r="G150"/>
  <c r="AA149"/>
  <c r="AC149"/>
  <c r="I149"/>
  <c r="AB149"/>
  <c r="E172"/>
  <c r="R172"/>
  <c r="S172"/>
  <c r="F172"/>
  <c r="A173"/>
  <c r="H978" i="11"/>
  <c r="H961"/>
  <c r="H894"/>
  <c r="X148" i="19" l="1"/>
  <c r="Y148" s="1"/>
  <c r="Z148" s="1"/>
  <c r="R173"/>
  <c r="S173"/>
  <c r="E173"/>
  <c r="F173"/>
  <c r="N149"/>
  <c r="W149" s="1"/>
  <c r="V149"/>
  <c r="AC150"/>
  <c r="G151"/>
  <c r="AA150"/>
  <c r="I150"/>
  <c r="AB150"/>
  <c r="A174"/>
  <c r="H119" i="11"/>
  <c r="H120" s="1"/>
  <c r="D121" s="1"/>
  <c r="H121" s="1"/>
  <c r="H123" s="1"/>
  <c r="L24" i="14" s="1"/>
  <c r="M24" s="1"/>
  <c r="D119" i="11"/>
  <c r="G152" i="19" l="1"/>
  <c r="I151"/>
  <c r="AA151"/>
  <c r="AC151"/>
  <c r="AB151"/>
  <c r="F174"/>
  <c r="E174"/>
  <c r="R174"/>
  <c r="S174"/>
  <c r="N150"/>
  <c r="W150" s="1"/>
  <c r="V150"/>
  <c r="A175"/>
  <c r="X149"/>
  <c r="Y149" s="1"/>
  <c r="Z149" s="1"/>
  <c r="G6" i="4"/>
  <c r="D7"/>
  <c r="C6"/>
  <c r="C5"/>
  <c r="D3"/>
  <c r="R175" i="19" l="1"/>
  <c r="E175"/>
  <c r="F175"/>
  <c r="S175"/>
  <c r="AA152"/>
  <c r="G153"/>
  <c r="I152"/>
  <c r="AC152"/>
  <c r="AB152"/>
  <c r="N151"/>
  <c r="W151" s="1"/>
  <c r="V151"/>
  <c r="X150"/>
  <c r="Y150" s="1"/>
  <c r="Z150" s="1"/>
  <c r="A5" i="6"/>
  <c r="X151" i="19" l="1"/>
  <c r="Y151" s="1"/>
  <c r="Z151" s="1"/>
  <c r="E176"/>
  <c r="F176"/>
  <c r="S176"/>
  <c r="R176"/>
  <c r="AA153"/>
  <c r="AC153"/>
  <c r="I153"/>
  <c r="G154"/>
  <c r="AB153"/>
  <c r="N152"/>
  <c r="W152" s="1"/>
  <c r="V152"/>
  <c r="A176"/>
  <c r="A177" s="1"/>
  <c r="H60" i="11"/>
  <c r="I154" i="19" l="1"/>
  <c r="AA154"/>
  <c r="G155"/>
  <c r="AC154"/>
  <c r="AB154"/>
  <c r="V153"/>
  <c r="N153"/>
  <c r="W153" s="1"/>
  <c r="E177"/>
  <c r="S177"/>
  <c r="A178"/>
  <c r="R177"/>
  <c r="F177"/>
  <c r="X152"/>
  <c r="Y152" s="1"/>
  <c r="Z152" s="1"/>
  <c r="F1056" i="11"/>
  <c r="X153" i="19" l="1"/>
  <c r="Y153" s="1"/>
  <c r="Z153" s="1"/>
  <c r="V154"/>
  <c r="N154"/>
  <c r="W154" s="1"/>
  <c r="A179"/>
  <c r="E178"/>
  <c r="R178"/>
  <c r="F178"/>
  <c r="S178"/>
  <c r="I155"/>
  <c r="AC155"/>
  <c r="AA155"/>
  <c r="G156"/>
  <c r="AB155"/>
  <c r="K963" i="11"/>
  <c r="X154" i="19" l="1"/>
  <c r="Y154" s="1"/>
  <c r="Z154" s="1"/>
  <c r="V155"/>
  <c r="N155"/>
  <c r="W155" s="1"/>
  <c r="AB156"/>
  <c r="I156"/>
  <c r="AA156"/>
  <c r="AC156"/>
  <c r="G157"/>
  <c r="S179"/>
  <c r="R179"/>
  <c r="F179"/>
  <c r="E179"/>
  <c r="K899" i="11"/>
  <c r="K893"/>
  <c r="E180" i="19" l="1"/>
  <c r="S180"/>
  <c r="R180"/>
  <c r="F180"/>
  <c r="V156"/>
  <c r="N156"/>
  <c r="W156" s="1"/>
  <c r="A180"/>
  <c r="AA157"/>
  <c r="G158"/>
  <c r="AC157"/>
  <c r="I157"/>
  <c r="AB157"/>
  <c r="X155"/>
  <c r="Y155" s="1"/>
  <c r="Z155" s="1"/>
  <c r="D7" i="13"/>
  <c r="F6"/>
  <c r="M18"/>
  <c r="K18"/>
  <c r="M17"/>
  <c r="K17"/>
  <c r="I15"/>
  <c r="M13"/>
  <c r="K13"/>
  <c r="M12"/>
  <c r="K12"/>
  <c r="N12" s="1"/>
  <c r="X156" i="19" l="1"/>
  <c r="Y156" s="1"/>
  <c r="Z156" s="1"/>
  <c r="F181"/>
  <c r="S181"/>
  <c r="E181"/>
  <c r="R181"/>
  <c r="AC158"/>
  <c r="G159"/>
  <c r="I158"/>
  <c r="AA158"/>
  <c r="AB158"/>
  <c r="N157"/>
  <c r="W157" s="1"/>
  <c r="V157"/>
  <c r="A181"/>
  <c r="A182" s="1"/>
  <c r="J14" i="13"/>
  <c r="K14" s="1"/>
  <c r="J15"/>
  <c r="L15"/>
  <c r="N18"/>
  <c r="N17"/>
  <c r="N13"/>
  <c r="X157" i="19" l="1"/>
  <c r="Y157" s="1"/>
  <c r="Z157" s="1"/>
  <c r="V158"/>
  <c r="N158"/>
  <c r="W158" s="1"/>
  <c r="R182"/>
  <c r="F182"/>
  <c r="S182"/>
  <c r="E182"/>
  <c r="G160"/>
  <c r="AB159"/>
  <c r="I159"/>
  <c r="AA159"/>
  <c r="AC159"/>
  <c r="M15" i="13"/>
  <c r="K15"/>
  <c r="N15" s="1"/>
  <c r="K22" l="1"/>
  <c r="L23" s="1"/>
  <c r="L14" s="1"/>
  <c r="M14" s="1"/>
  <c r="G161" i="19"/>
  <c r="AB160"/>
  <c r="I160"/>
  <c r="AA160"/>
  <c r="AC160"/>
  <c r="S183"/>
  <c r="R183"/>
  <c r="F183"/>
  <c r="E183"/>
  <c r="X158"/>
  <c r="Y158" s="1"/>
  <c r="Z158" s="1"/>
  <c r="N159"/>
  <c r="W159" s="1"/>
  <c r="V159"/>
  <c r="A183"/>
  <c r="A184" s="1"/>
  <c r="L19" i="13"/>
  <c r="M19" s="1"/>
  <c r="K1055" i="11"/>
  <c r="K977"/>
  <c r="K960"/>
  <c r="K938"/>
  <c r="K939"/>
  <c r="K940"/>
  <c r="K941"/>
  <c r="K942"/>
  <c r="K943"/>
  <c r="K944"/>
  <c r="K937"/>
  <c r="H946"/>
  <c r="N14" i="13" l="1"/>
  <c r="AC161" i="19"/>
  <c r="G162"/>
  <c r="AB161"/>
  <c r="I161"/>
  <c r="AA161"/>
  <c r="V160"/>
  <c r="N160"/>
  <c r="W160" s="1"/>
  <c r="E184"/>
  <c r="F184"/>
  <c r="S184"/>
  <c r="A185"/>
  <c r="R184"/>
  <c r="X159"/>
  <c r="Y159" s="1"/>
  <c r="Z159" s="1"/>
  <c r="N19" i="13"/>
  <c r="F978" i="11"/>
  <c r="K978" s="1"/>
  <c r="K1056"/>
  <c r="K961"/>
  <c r="K945"/>
  <c r="F946" s="1"/>
  <c r="K946" s="1"/>
  <c r="K947" s="1"/>
  <c r="L19" i="4" s="1"/>
  <c r="M19" s="1"/>
  <c r="AA162" i="19" l="1"/>
  <c r="AC162"/>
  <c r="AB162"/>
  <c r="I162"/>
  <c r="G163"/>
  <c r="E185"/>
  <c r="S185"/>
  <c r="R185"/>
  <c r="F185"/>
  <c r="A186"/>
  <c r="V161"/>
  <c r="N161"/>
  <c r="W161" s="1"/>
  <c r="X160"/>
  <c r="Y160" s="1"/>
  <c r="Z160" s="1"/>
  <c r="N24" i="13"/>
  <c r="B29"/>
  <c r="J1429" i="11"/>
  <c r="J1421"/>
  <c r="J1413"/>
  <c r="J1405"/>
  <c r="J1397"/>
  <c r="J1381"/>
  <c r="J1373"/>
  <c r="J1365"/>
  <c r="J1357"/>
  <c r="J1349"/>
  <c r="J1341"/>
  <c r="J1333"/>
  <c r="J1325"/>
  <c r="J1317"/>
  <c r="J1310"/>
  <c r="F1310"/>
  <c r="J1309"/>
  <c r="J1170"/>
  <c r="J1169"/>
  <c r="G1170"/>
  <c r="J1163"/>
  <c r="G1163"/>
  <c r="J1162"/>
  <c r="K894"/>
  <c r="K824"/>
  <c r="F821"/>
  <c r="H821" s="1"/>
  <c r="K816"/>
  <c r="H826"/>
  <c r="AC163" i="19" l="1"/>
  <c r="AB163"/>
  <c r="I163"/>
  <c r="AA163"/>
  <c r="G164"/>
  <c r="E186"/>
  <c r="F186"/>
  <c r="S186"/>
  <c r="R186"/>
  <c r="V162"/>
  <c r="N162"/>
  <c r="W162" s="1"/>
  <c r="X161"/>
  <c r="Y161" s="1"/>
  <c r="Z161" s="1"/>
  <c r="J1165" i="11"/>
  <c r="J1171"/>
  <c r="F822"/>
  <c r="K822" s="1"/>
  <c r="K821"/>
  <c r="H96"/>
  <c r="D96"/>
  <c r="H94"/>
  <c r="H70"/>
  <c r="D70"/>
  <c r="X162" i="19" l="1"/>
  <c r="Y162" s="1"/>
  <c r="Z162" s="1"/>
  <c r="AC164"/>
  <c r="G165"/>
  <c r="I164"/>
  <c r="AB164"/>
  <c r="AA164"/>
  <c r="A187"/>
  <c r="F187"/>
  <c r="E187"/>
  <c r="S187"/>
  <c r="R187"/>
  <c r="N163"/>
  <c r="W163" s="1"/>
  <c r="V163"/>
  <c r="H62" i="11"/>
  <c r="D62"/>
  <c r="A188" i="19" l="1"/>
  <c r="A189" s="1"/>
  <c r="G166"/>
  <c r="I165"/>
  <c r="AA165"/>
  <c r="AB165"/>
  <c r="AC165"/>
  <c r="E188"/>
  <c r="R188"/>
  <c r="S188"/>
  <c r="F188"/>
  <c r="N164"/>
  <c r="W164" s="1"/>
  <c r="V164"/>
  <c r="X163"/>
  <c r="Y163" s="1"/>
  <c r="Z163" s="1"/>
  <c r="K1482" i="11"/>
  <c r="K1478"/>
  <c r="K1468"/>
  <c r="K1465"/>
  <c r="K1464"/>
  <c r="K1463"/>
  <c r="K1462"/>
  <c r="K1447"/>
  <c r="K1446"/>
  <c r="K1445"/>
  <c r="J1318"/>
  <c r="F1318"/>
  <c r="M1252"/>
  <c r="I1251"/>
  <c r="M1251" s="1"/>
  <c r="I1250"/>
  <c r="I1249"/>
  <c r="I1241"/>
  <c r="I1240"/>
  <c r="I1239"/>
  <c r="I1221"/>
  <c r="I1220"/>
  <c r="I1219"/>
  <c r="I1211"/>
  <c r="I1210"/>
  <c r="I1209"/>
  <c r="I1201"/>
  <c r="I1200"/>
  <c r="I1199"/>
  <c r="I1191"/>
  <c r="I1190"/>
  <c r="I1189"/>
  <c r="J1172"/>
  <c r="D47"/>
  <c r="H47" s="1"/>
  <c r="H49" s="1"/>
  <c r="D217"/>
  <c r="H170"/>
  <c r="J147"/>
  <c r="J73" i="6"/>
  <c r="J72"/>
  <c r="E72"/>
  <c r="H72" s="1"/>
  <c r="J527" i="11"/>
  <c r="J28" i="6"/>
  <c r="J213" i="11"/>
  <c r="J214" s="1"/>
  <c r="J215" s="1"/>
  <c r="J15" i="6"/>
  <c r="J12"/>
  <c r="J11"/>
  <c r="X164" i="19" l="1"/>
  <c r="Y164" s="1"/>
  <c r="Z164" s="1"/>
  <c r="AB166"/>
  <c r="I166"/>
  <c r="AC166"/>
  <c r="AA166"/>
  <c r="G167"/>
  <c r="V165"/>
  <c r="N165"/>
  <c r="W165" s="1"/>
  <c r="R189"/>
  <c r="F189"/>
  <c r="E189"/>
  <c r="S189"/>
  <c r="K1449" i="11"/>
  <c r="G1450" s="1"/>
  <c r="K1450" s="1"/>
  <c r="K1453" s="1"/>
  <c r="K1454" s="1"/>
  <c r="H697" s="1"/>
  <c r="K1301"/>
  <c r="K1291"/>
  <c r="K1283"/>
  <c r="K1275"/>
  <c r="K1267"/>
  <c r="K1259"/>
  <c r="K1250"/>
  <c r="K1240"/>
  <c r="K1230"/>
  <c r="K1220"/>
  <c r="K1210"/>
  <c r="K1200"/>
  <c r="K1190"/>
  <c r="M1190" s="1"/>
  <c r="D238"/>
  <c r="D213"/>
  <c r="J554"/>
  <c r="D555" s="1"/>
  <c r="J555" s="1"/>
  <c r="F556" s="1"/>
  <c r="J556" s="1"/>
  <c r="H544" s="1"/>
  <c r="J544" s="1"/>
  <c r="J571"/>
  <c r="D572" s="1"/>
  <c r="J572" s="1"/>
  <c r="F573" s="1"/>
  <c r="J573" s="1"/>
  <c r="H561" s="1"/>
  <c r="J561" s="1"/>
  <c r="J588"/>
  <c r="D589" s="1"/>
  <c r="J589" s="1"/>
  <c r="F590" s="1"/>
  <c r="J590" s="1"/>
  <c r="H578" s="1"/>
  <c r="J578" s="1"/>
  <c r="J605"/>
  <c r="D606" s="1"/>
  <c r="J606" s="1"/>
  <c r="F607" s="1"/>
  <c r="J607" s="1"/>
  <c r="H595" s="1"/>
  <c r="J595" s="1"/>
  <c r="H176"/>
  <c r="H178" s="1"/>
  <c r="H179" s="1"/>
  <c r="J217"/>
  <c r="J218" s="1"/>
  <c r="J219" s="1"/>
  <c r="D242"/>
  <c r="D229"/>
  <c r="J242"/>
  <c r="J243" s="1"/>
  <c r="J244" s="1"/>
  <c r="J229"/>
  <c r="J230" s="1"/>
  <c r="J231" s="1"/>
  <c r="J233" s="1"/>
  <c r="J234" s="1"/>
  <c r="G320"/>
  <c r="G291"/>
  <c r="K1027"/>
  <c r="H1011"/>
  <c r="K1011" s="1"/>
  <c r="J320"/>
  <c r="J321" s="1"/>
  <c r="J322" s="1"/>
  <c r="J291"/>
  <c r="J292" s="1"/>
  <c r="J525"/>
  <c r="J576"/>
  <c r="J542"/>
  <c r="J593"/>
  <c r="J559"/>
  <c r="H172"/>
  <c r="H173" s="1"/>
  <c r="J126" s="1"/>
  <c r="H920"/>
  <c r="J1176"/>
  <c r="J1175"/>
  <c r="K1479"/>
  <c r="G1480" s="1"/>
  <c r="K1466"/>
  <c r="G1467" s="1"/>
  <c r="H71"/>
  <c r="D72" s="1"/>
  <c r="H72" s="1"/>
  <c r="H74" s="1"/>
  <c r="J1312"/>
  <c r="J1313" s="1"/>
  <c r="J1326"/>
  <c r="J1320"/>
  <c r="J1321" s="1"/>
  <c r="J1322" s="1"/>
  <c r="H63"/>
  <c r="D64" s="1"/>
  <c r="H64" s="1"/>
  <c r="H66" s="1"/>
  <c r="H1137" s="1"/>
  <c r="K1137" s="1"/>
  <c r="H97"/>
  <c r="J1166"/>
  <c r="F1326"/>
  <c r="F1334" s="1"/>
  <c r="F1342" s="1"/>
  <c r="F1350" s="1"/>
  <c r="F1358" s="1"/>
  <c r="F1366" s="1"/>
  <c r="F1374" s="1"/>
  <c r="F1382" s="1"/>
  <c r="X165" i="19" l="1"/>
  <c r="Y165" s="1"/>
  <c r="Z165" s="1"/>
  <c r="AA167"/>
  <c r="AB167"/>
  <c r="I167"/>
  <c r="G168"/>
  <c r="AC167"/>
  <c r="F190"/>
  <c r="E190"/>
  <c r="S190"/>
  <c r="R190"/>
  <c r="V166"/>
  <c r="N166"/>
  <c r="W166" s="1"/>
  <c r="A190"/>
  <c r="H820" i="11"/>
  <c r="K820" s="1"/>
  <c r="H700"/>
  <c r="K700" s="1"/>
  <c r="H1125"/>
  <c r="K1125" s="1"/>
  <c r="H694"/>
  <c r="K694" s="1"/>
  <c r="L33" i="14"/>
  <c r="M33" s="1"/>
  <c r="H1144" i="11"/>
  <c r="K1144" s="1"/>
  <c r="K1149" s="1"/>
  <c r="K1150" s="1"/>
  <c r="L86" i="4" s="1"/>
  <c r="H1078" i="11"/>
  <c r="K1078" s="1"/>
  <c r="H1128"/>
  <c r="L72" i="4"/>
  <c r="M72" s="1"/>
  <c r="G1176" i="11"/>
  <c r="H1036"/>
  <c r="K1036" s="1"/>
  <c r="L34" i="4" s="1"/>
  <c r="M34" s="1"/>
  <c r="H1050" i="11"/>
  <c r="H1020"/>
  <c r="K1020" s="1"/>
  <c r="H1004"/>
  <c r="K1004" s="1"/>
  <c r="H1017"/>
  <c r="K1017" s="1"/>
  <c r="H1001"/>
  <c r="K1001" s="1"/>
  <c r="H973"/>
  <c r="H990"/>
  <c r="K990" s="1"/>
  <c r="K1467"/>
  <c r="K1470" s="1"/>
  <c r="K1471" s="1"/>
  <c r="H818" s="1"/>
  <c r="K1480"/>
  <c r="K1483" s="1"/>
  <c r="K1258"/>
  <c r="M1258" s="1"/>
  <c r="K1300"/>
  <c r="K1290"/>
  <c r="K1282"/>
  <c r="K1274"/>
  <c r="K1266"/>
  <c r="K1249"/>
  <c r="K1239"/>
  <c r="K1229"/>
  <c r="K1219"/>
  <c r="K1209"/>
  <c r="K1199"/>
  <c r="J1334"/>
  <c r="J1342" s="1"/>
  <c r="J1328"/>
  <c r="J1329" s="1"/>
  <c r="J1330" s="1"/>
  <c r="H701" s="1"/>
  <c r="K701" s="1"/>
  <c r="J1314"/>
  <c r="H714" s="1"/>
  <c r="K714" s="1"/>
  <c r="T367"/>
  <c r="H887"/>
  <c r="H896"/>
  <c r="H355"/>
  <c r="J355" s="1"/>
  <c r="J293"/>
  <c r="M1259"/>
  <c r="K697"/>
  <c r="H785"/>
  <c r="K785" s="1"/>
  <c r="H787"/>
  <c r="K787" s="1"/>
  <c r="H715"/>
  <c r="K715" s="1"/>
  <c r="M1230"/>
  <c r="M1200"/>
  <c r="H629"/>
  <c r="K629" s="1"/>
  <c r="H653"/>
  <c r="K653" s="1"/>
  <c r="H641"/>
  <c r="K641" s="1"/>
  <c r="H528"/>
  <c r="J528" s="1"/>
  <c r="H596"/>
  <c r="J596" s="1"/>
  <c r="H562"/>
  <c r="J562" s="1"/>
  <c r="H579"/>
  <c r="J579" s="1"/>
  <c r="H545"/>
  <c r="J545" s="1"/>
  <c r="J155"/>
  <c r="J157" s="1"/>
  <c r="J149"/>
  <c r="K1189"/>
  <c r="M1189" s="1"/>
  <c r="D98"/>
  <c r="H98" s="1"/>
  <c r="H100" s="1"/>
  <c r="H1102"/>
  <c r="K1102" s="1"/>
  <c r="H1076"/>
  <c r="K1076" s="1"/>
  <c r="K920"/>
  <c r="J1177"/>
  <c r="J1178" s="1"/>
  <c r="H955"/>
  <c r="M1210"/>
  <c r="M1220"/>
  <c r="F1398"/>
  <c r="F1406" s="1"/>
  <c r="F1414" s="1"/>
  <c r="F1422" s="1"/>
  <c r="F1430" s="1"/>
  <c r="F1390"/>
  <c r="X166" i="19" l="1"/>
  <c r="Y166" s="1"/>
  <c r="Z166" s="1"/>
  <c r="S191"/>
  <c r="R191"/>
  <c r="F191"/>
  <c r="E191"/>
  <c r="N167"/>
  <c r="W167" s="1"/>
  <c r="V167"/>
  <c r="I168"/>
  <c r="G169"/>
  <c r="AA168"/>
  <c r="AB168"/>
  <c r="AC168"/>
  <c r="A191"/>
  <c r="A192" s="1"/>
  <c r="H914" i="11"/>
  <c r="K914" s="1"/>
  <c r="H954"/>
  <c r="K954" s="1"/>
  <c r="H727"/>
  <c r="K727" s="1"/>
  <c r="H681"/>
  <c r="K681" s="1"/>
  <c r="J1336"/>
  <c r="J1337" s="1"/>
  <c r="J1338" s="1"/>
  <c r="H1127"/>
  <c r="K1127" s="1"/>
  <c r="H699"/>
  <c r="K699" s="1"/>
  <c r="L74" i="4"/>
  <c r="M74" s="1"/>
  <c r="L75"/>
  <c r="M75" s="1"/>
  <c r="K1128" i="11"/>
  <c r="H987"/>
  <c r="K987" s="1"/>
  <c r="H1034"/>
  <c r="H1019"/>
  <c r="K1019" s="1"/>
  <c r="H1003"/>
  <c r="K1003" s="1"/>
  <c r="T366"/>
  <c r="H356" s="1"/>
  <c r="J356" s="1"/>
  <c r="H972"/>
  <c r="K972" s="1"/>
  <c r="K1484"/>
  <c r="H1124" s="1"/>
  <c r="H897"/>
  <c r="K897" s="1"/>
  <c r="H885"/>
  <c r="K885" s="1"/>
  <c r="K1034"/>
  <c r="L32" i="4" s="1"/>
  <c r="M32" s="1"/>
  <c r="H725" i="11"/>
  <c r="K725" s="1"/>
  <c r="H712"/>
  <c r="K712" s="1"/>
  <c r="H679"/>
  <c r="K679" s="1"/>
  <c r="H639"/>
  <c r="K639" s="1"/>
  <c r="H651"/>
  <c r="K651" s="1"/>
  <c r="H627"/>
  <c r="K627" s="1"/>
  <c r="H1092"/>
  <c r="K1092" s="1"/>
  <c r="H404"/>
  <c r="J404" s="1"/>
  <c r="K818"/>
  <c r="K1292"/>
  <c r="K1284"/>
  <c r="K1276"/>
  <c r="K1268"/>
  <c r="K1260"/>
  <c r="M1260" s="1"/>
  <c r="M1262" s="1"/>
  <c r="M1263" s="1"/>
  <c r="H1118" s="1"/>
  <c r="K1241"/>
  <c r="K1231"/>
  <c r="K1221"/>
  <c r="K1211"/>
  <c r="K1201"/>
  <c r="K1191"/>
  <c r="M1267"/>
  <c r="M1266"/>
  <c r="H686"/>
  <c r="K686" s="1"/>
  <c r="M1250"/>
  <c r="M1199"/>
  <c r="T368"/>
  <c r="H823"/>
  <c r="K823" s="1"/>
  <c r="K955"/>
  <c r="J1344"/>
  <c r="J1345" s="1"/>
  <c r="J1346" s="1"/>
  <c r="J1350"/>
  <c r="N168" i="19" l="1"/>
  <c r="W168" s="1"/>
  <c r="V168"/>
  <c r="G170"/>
  <c r="AA169"/>
  <c r="I169"/>
  <c r="AC169"/>
  <c r="AB169"/>
  <c r="S192"/>
  <c r="F192"/>
  <c r="R192"/>
  <c r="E192"/>
  <c r="A193"/>
  <c r="X167"/>
  <c r="Y167" s="1"/>
  <c r="Z167" s="1"/>
  <c r="M86" i="4"/>
  <c r="L65"/>
  <c r="M65" s="1"/>
  <c r="K1118" i="11"/>
  <c r="L71" i="4"/>
  <c r="M71" s="1"/>
  <c r="K1124" i="11"/>
  <c r="H970"/>
  <c r="H1048"/>
  <c r="K1048" s="1"/>
  <c r="H1064"/>
  <c r="K1064" s="1"/>
  <c r="H952"/>
  <c r="H912"/>
  <c r="K912" s="1"/>
  <c r="M1275"/>
  <c r="M1268"/>
  <c r="M1270" s="1"/>
  <c r="M1271" s="1"/>
  <c r="M1274"/>
  <c r="M1240"/>
  <c r="M1211"/>
  <c r="M1201"/>
  <c r="M1209"/>
  <c r="M1191"/>
  <c r="J1358"/>
  <c r="J1360" s="1"/>
  <c r="J1352"/>
  <c r="J1353" s="1"/>
  <c r="J1354" s="1"/>
  <c r="H1129" s="1"/>
  <c r="X168" i="19" l="1"/>
  <c r="Y168" s="1"/>
  <c r="Z168" s="1"/>
  <c r="N169"/>
  <c r="W169" s="1"/>
  <c r="V169"/>
  <c r="A194"/>
  <c r="E193"/>
  <c r="R193"/>
  <c r="S193"/>
  <c r="F193"/>
  <c r="AA170"/>
  <c r="AC170"/>
  <c r="AB170"/>
  <c r="I170"/>
  <c r="G171"/>
  <c r="L76" i="4"/>
  <c r="M76" s="1"/>
  <c r="K1129" i="11"/>
  <c r="K970"/>
  <c r="K952"/>
  <c r="H445"/>
  <c r="J445" s="1"/>
  <c r="J450" s="1"/>
  <c r="J451" s="1"/>
  <c r="L45" i="14" s="1"/>
  <c r="M45" s="1"/>
  <c r="H888" i="11"/>
  <c r="K888" s="1"/>
  <c r="M1276"/>
  <c r="M1278" s="1"/>
  <c r="M1279" s="1"/>
  <c r="H1122" s="1"/>
  <c r="M1283"/>
  <c r="M1282"/>
  <c r="M1229"/>
  <c r="M1231"/>
  <c r="K896"/>
  <c r="H398"/>
  <c r="J398" s="1"/>
  <c r="J405" s="1"/>
  <c r="J406" s="1"/>
  <c r="L44" i="14" s="1"/>
  <c r="M44" s="1"/>
  <c r="M1221" i="11"/>
  <c r="J1361"/>
  <c r="J1362" s="1"/>
  <c r="J1366"/>
  <c r="J1368" s="1"/>
  <c r="X169" i="19" l="1"/>
  <c r="Y169" s="1"/>
  <c r="Z169" s="1"/>
  <c r="N170"/>
  <c r="W170" s="1"/>
  <c r="V170"/>
  <c r="E194"/>
  <c r="S194"/>
  <c r="R194"/>
  <c r="F194"/>
  <c r="G172"/>
  <c r="AB171"/>
  <c r="I171"/>
  <c r="AA171"/>
  <c r="AC171"/>
  <c r="A195"/>
  <c r="F451" i="11"/>
  <c r="H711"/>
  <c r="H696"/>
  <c r="L70" i="4"/>
  <c r="M70" s="1"/>
  <c r="M1292" i="11"/>
  <c r="M1284"/>
  <c r="M1286" s="1"/>
  <c r="M1287" s="1"/>
  <c r="H1123" s="1"/>
  <c r="K1123" s="1"/>
  <c r="M1301"/>
  <c r="M1291"/>
  <c r="M1300"/>
  <c r="M1290"/>
  <c r="M1219"/>
  <c r="H654"/>
  <c r="K654" s="1"/>
  <c r="H642"/>
  <c r="K642" s="1"/>
  <c r="H630"/>
  <c r="K630" s="1"/>
  <c r="F406"/>
  <c r="M1241"/>
  <c r="M1249"/>
  <c r="M1253" s="1"/>
  <c r="M1239"/>
  <c r="J1374"/>
  <c r="J1369"/>
  <c r="J1370" s="1"/>
  <c r="X170" i="19" l="1"/>
  <c r="Y170" s="1"/>
  <c r="Z170" s="1"/>
  <c r="V171"/>
  <c r="N171"/>
  <c r="W171" s="1"/>
  <c r="R195"/>
  <c r="F195"/>
  <c r="E195"/>
  <c r="S195"/>
  <c r="AC172"/>
  <c r="AB172"/>
  <c r="I172"/>
  <c r="G173"/>
  <c r="AA172"/>
  <c r="M1304" i="11"/>
  <c r="M1305" s="1"/>
  <c r="H695" s="1"/>
  <c r="H986"/>
  <c r="K986" s="1"/>
  <c r="K711"/>
  <c r="K719" s="1"/>
  <c r="H705" s="1"/>
  <c r="K705" s="1"/>
  <c r="K696"/>
  <c r="M1254"/>
  <c r="M1294"/>
  <c r="M1295" s="1"/>
  <c r="J1376"/>
  <c r="J1377" s="1"/>
  <c r="J1378" s="1"/>
  <c r="J1382"/>
  <c r="X171" i="19" l="1"/>
  <c r="Y171" s="1"/>
  <c r="Z171" s="1"/>
  <c r="AA173"/>
  <c r="AC173"/>
  <c r="G174"/>
  <c r="AB173"/>
  <c r="I173"/>
  <c r="F196"/>
  <c r="E196"/>
  <c r="S196"/>
  <c r="R196"/>
  <c r="A196"/>
  <c r="A197" s="1"/>
  <c r="N172"/>
  <c r="W172" s="1"/>
  <c r="V172"/>
  <c r="K695" i="11"/>
  <c r="K706" s="1"/>
  <c r="L69" i="4"/>
  <c r="M69" s="1"/>
  <c r="K1122" i="11"/>
  <c r="H598"/>
  <c r="J598" s="1"/>
  <c r="H581"/>
  <c r="J581" s="1"/>
  <c r="H564"/>
  <c r="J564" s="1"/>
  <c r="H547"/>
  <c r="J547" s="1"/>
  <c r="H530"/>
  <c r="J530" s="1"/>
  <c r="J1398"/>
  <c r="J1400" s="1"/>
  <c r="J1384"/>
  <c r="J1385" s="1"/>
  <c r="J1386" s="1"/>
  <c r="N173" i="19" l="1"/>
  <c r="W173" s="1"/>
  <c r="V173"/>
  <c r="F197"/>
  <c r="A198"/>
  <c r="S197"/>
  <c r="R197"/>
  <c r="E197"/>
  <c r="I174"/>
  <c r="G175"/>
  <c r="AB174"/>
  <c r="AC174"/>
  <c r="AA174"/>
  <c r="X172"/>
  <c r="Y172" s="1"/>
  <c r="Z172" s="1"/>
  <c r="F707" i="11"/>
  <c r="K707" s="1"/>
  <c r="J1406"/>
  <c r="J1401"/>
  <c r="J1402" s="1"/>
  <c r="X173" i="19" l="1"/>
  <c r="Y173" s="1"/>
  <c r="Z173" s="1"/>
  <c r="R198"/>
  <c r="F198"/>
  <c r="E198"/>
  <c r="A199"/>
  <c r="S198"/>
  <c r="N174"/>
  <c r="W174" s="1"/>
  <c r="V174"/>
  <c r="AA175"/>
  <c r="AC175"/>
  <c r="G176"/>
  <c r="AB175"/>
  <c r="I175"/>
  <c r="K708" i="11"/>
  <c r="L73" i="14" s="1"/>
  <c r="M73" s="1"/>
  <c r="H1051" i="11"/>
  <c r="H1130"/>
  <c r="H1021"/>
  <c r="K1021" s="1"/>
  <c r="H1005"/>
  <c r="K1005" s="1"/>
  <c r="H991"/>
  <c r="K991" s="1"/>
  <c r="H974"/>
  <c r="H956"/>
  <c r="H889"/>
  <c r="K889" s="1"/>
  <c r="H788"/>
  <c r="K788" s="1"/>
  <c r="H1104"/>
  <c r="K1104" s="1"/>
  <c r="H486"/>
  <c r="J486" s="1"/>
  <c r="J489" s="1"/>
  <c r="J490" s="1"/>
  <c r="L46" i="14" s="1"/>
  <c r="M46" s="1"/>
  <c r="H1094" i="11"/>
  <c r="K1094" s="1"/>
  <c r="H1066"/>
  <c r="K1066" s="1"/>
  <c r="H915"/>
  <c r="J1414"/>
  <c r="J1408"/>
  <c r="J1409" s="1"/>
  <c r="J1410" s="1"/>
  <c r="H1131" s="1"/>
  <c r="K1131" s="1"/>
  <c r="X174" i="19" l="1"/>
  <c r="Y174" s="1"/>
  <c r="Z174" s="1"/>
  <c r="A200"/>
  <c r="N175"/>
  <c r="W175" s="1"/>
  <c r="V175"/>
  <c r="E199"/>
  <c r="R199"/>
  <c r="F199"/>
  <c r="S199"/>
  <c r="AA176"/>
  <c r="G177"/>
  <c r="AB176"/>
  <c r="AC176"/>
  <c r="I176"/>
  <c r="L77" i="4"/>
  <c r="M77" s="1"/>
  <c r="K1130" i="11"/>
  <c r="H1052"/>
  <c r="H1079"/>
  <c r="K1079" s="1"/>
  <c r="H1022"/>
  <c r="K1022" s="1"/>
  <c r="H1006"/>
  <c r="K1006" s="1"/>
  <c r="H975"/>
  <c r="H890"/>
  <c r="K890" s="1"/>
  <c r="F490"/>
  <c r="H916"/>
  <c r="K916" s="1"/>
  <c r="K915"/>
  <c r="H957"/>
  <c r="K956"/>
  <c r="K895"/>
  <c r="K887"/>
  <c r="J1422"/>
  <c r="J1416"/>
  <c r="J1417" s="1"/>
  <c r="J1418" s="1"/>
  <c r="X175" i="19" l="1"/>
  <c r="Y175" s="1"/>
  <c r="Z175" s="1"/>
  <c r="V176"/>
  <c r="N176"/>
  <c r="W176" s="1"/>
  <c r="AB177"/>
  <c r="I177"/>
  <c r="AC177"/>
  <c r="G178"/>
  <c r="AA177"/>
  <c r="E200"/>
  <c r="F200"/>
  <c r="S200"/>
  <c r="A201"/>
  <c r="R200"/>
  <c r="H1053" i="11"/>
  <c r="H1132"/>
  <c r="K1132" s="1"/>
  <c r="H1023"/>
  <c r="K1023" s="1"/>
  <c r="H1007"/>
  <c r="K1007" s="1"/>
  <c r="H992"/>
  <c r="K974"/>
  <c r="K973"/>
  <c r="K1052"/>
  <c r="K957"/>
  <c r="H891"/>
  <c r="K891" s="1"/>
  <c r="J1430"/>
  <c r="J1432" s="1"/>
  <c r="J1433" s="1"/>
  <c r="J1424"/>
  <c r="J1425" s="1"/>
  <c r="X176" i="19" l="1"/>
  <c r="Y176" s="1"/>
  <c r="Z176" s="1"/>
  <c r="N177"/>
  <c r="W177" s="1"/>
  <c r="V177"/>
  <c r="AB178"/>
  <c r="I178"/>
  <c r="G179"/>
  <c r="AC178"/>
  <c r="AA178"/>
  <c r="S201"/>
  <c r="F201"/>
  <c r="R201"/>
  <c r="E201"/>
  <c r="A202"/>
  <c r="J1434" i="11"/>
  <c r="J1426"/>
  <c r="H1133" s="1"/>
  <c r="K1133" s="1"/>
  <c r="K1138" s="1"/>
  <c r="F1139" s="1"/>
  <c r="K1139" s="1"/>
  <c r="K1140" s="1"/>
  <c r="H1105"/>
  <c r="K1105" s="1"/>
  <c r="K992"/>
  <c r="H1067"/>
  <c r="K1067" s="1"/>
  <c r="K1053"/>
  <c r="X177" i="19" l="1"/>
  <c r="Y177" s="1"/>
  <c r="Z177" s="1"/>
  <c r="AA179"/>
  <c r="AC179"/>
  <c r="G180"/>
  <c r="AB179"/>
  <c r="I179"/>
  <c r="E202"/>
  <c r="F202"/>
  <c r="S202"/>
  <c r="R202"/>
  <c r="N178"/>
  <c r="W178" s="1"/>
  <c r="V178"/>
  <c r="H917" i="11"/>
  <c r="K917" s="1"/>
  <c r="H958"/>
  <c r="K958" s="1"/>
  <c r="H1054"/>
  <c r="K1054" s="1"/>
  <c r="H1080"/>
  <c r="K1080" s="1"/>
  <c r="H1024"/>
  <c r="K1024" s="1"/>
  <c r="H1008"/>
  <c r="K1008" s="1"/>
  <c r="K995"/>
  <c r="K996" s="1"/>
  <c r="L24" i="4" s="1"/>
  <c r="M24" s="1"/>
  <c r="H892" i="11"/>
  <c r="K892" s="1"/>
  <c r="H976"/>
  <c r="K976" s="1"/>
  <c r="K1051"/>
  <c r="N179" i="19" l="1"/>
  <c r="W179" s="1"/>
  <c r="V179"/>
  <c r="S203"/>
  <c r="F203"/>
  <c r="E203"/>
  <c r="R203"/>
  <c r="I180"/>
  <c r="G181"/>
  <c r="AA180"/>
  <c r="AC180"/>
  <c r="AB180"/>
  <c r="A203"/>
  <c r="X178"/>
  <c r="Y178" s="1"/>
  <c r="Z178" s="1"/>
  <c r="K1050" i="11"/>
  <c r="K975"/>
  <c r="X179" i="19" l="1"/>
  <c r="Y179" s="1"/>
  <c r="Z179" s="1"/>
  <c r="N180"/>
  <c r="W180" s="1"/>
  <c r="V180"/>
  <c r="AC181"/>
  <c r="G182"/>
  <c r="AB181"/>
  <c r="I181"/>
  <c r="AA181"/>
  <c r="E204"/>
  <c r="S204"/>
  <c r="R204"/>
  <c r="F204"/>
  <c r="A204"/>
  <c r="R205" l="1"/>
  <c r="E205"/>
  <c r="S205"/>
  <c r="F205"/>
  <c r="G183"/>
  <c r="AB182"/>
  <c r="AA182"/>
  <c r="AC182"/>
  <c r="I182"/>
  <c r="X180"/>
  <c r="Y180" s="1"/>
  <c r="Z180" s="1"/>
  <c r="N181"/>
  <c r="W181" s="1"/>
  <c r="V181"/>
  <c r="A205"/>
  <c r="A206" s="1"/>
  <c r="S206" l="1"/>
  <c r="F206"/>
  <c r="E206"/>
  <c r="R206"/>
  <c r="N182"/>
  <c r="W182" s="1"/>
  <c r="V182"/>
  <c r="G184"/>
  <c r="AB183"/>
  <c r="I183"/>
  <c r="AA183"/>
  <c r="AC183"/>
  <c r="A207"/>
  <c r="X181"/>
  <c r="Y181" s="1"/>
  <c r="Z181" s="1"/>
  <c r="X182" l="1"/>
  <c r="Y182" s="1"/>
  <c r="Z182" s="1"/>
  <c r="S207"/>
  <c r="E207"/>
  <c r="F207"/>
  <c r="R207"/>
  <c r="A208"/>
  <c r="N183"/>
  <c r="W183" s="1"/>
  <c r="V183"/>
  <c r="AA184"/>
  <c r="AC184"/>
  <c r="G185"/>
  <c r="AB184"/>
  <c r="I184"/>
  <c r="N45" i="14"/>
  <c r="N44"/>
  <c r="N46"/>
  <c r="N24"/>
  <c r="A209" i="19" l="1"/>
  <c r="R209"/>
  <c r="F209"/>
  <c r="S209"/>
  <c r="E209"/>
  <c r="V184"/>
  <c r="N184"/>
  <c r="W184" s="1"/>
  <c r="E208"/>
  <c r="R208"/>
  <c r="F208"/>
  <c r="S208"/>
  <c r="AC185"/>
  <c r="G186"/>
  <c r="AB185"/>
  <c r="I185"/>
  <c r="AA185"/>
  <c r="X183"/>
  <c r="Y183" s="1"/>
  <c r="Z183" s="1"/>
  <c r="O24" i="14"/>
  <c r="P24" s="1"/>
  <c r="O46"/>
  <c r="P46" s="1"/>
  <c r="O45"/>
  <c r="P45" s="1"/>
  <c r="O44"/>
  <c r="P44" s="1"/>
  <c r="E210" i="19" l="1"/>
  <c r="H213" s="1"/>
  <c r="T16" i="14" s="1"/>
  <c r="K16" s="1"/>
  <c r="L16" s="1"/>
  <c r="M16" s="1"/>
  <c r="F210" i="19"/>
  <c r="H214" s="1"/>
  <c r="R210"/>
  <c r="N8" i="12"/>
  <c r="M8" s="1"/>
  <c r="U159" i="14"/>
  <c r="W159" s="1"/>
  <c r="K160" s="1"/>
  <c r="M13" i="12"/>
  <c r="N16" s="1"/>
  <c r="X184" i="19"/>
  <c r="Y184" s="1"/>
  <c r="Z184" s="1"/>
  <c r="AB186"/>
  <c r="I186"/>
  <c r="AA186"/>
  <c r="AC186"/>
  <c r="G187"/>
  <c r="V185"/>
  <c r="N185"/>
  <c r="W185" s="1"/>
  <c r="G5" i="4"/>
  <c r="F5" i="13" s="1"/>
  <c r="H215" i="19" l="1"/>
  <c r="T17" i="14" s="1"/>
  <c r="K17" s="1"/>
  <c r="L17" s="1"/>
  <c r="M17" s="1"/>
  <c r="T12"/>
  <c r="K12" s="1"/>
  <c r="L12" s="1"/>
  <c r="M12" s="1"/>
  <c r="H218" i="19"/>
  <c r="J10"/>
  <c r="J28"/>
  <c r="K28"/>
  <c r="O28"/>
  <c r="P28" s="1"/>
  <c r="Q28" s="1"/>
  <c r="K29"/>
  <c r="O29"/>
  <c r="P29" s="1"/>
  <c r="Q29" s="1"/>
  <c r="J29"/>
  <c r="O30"/>
  <c r="P30" s="1"/>
  <c r="Q30" s="1"/>
  <c r="J30"/>
  <c r="K30"/>
  <c r="K31"/>
  <c r="O31"/>
  <c r="P31" s="1"/>
  <c r="Q31" s="1"/>
  <c r="J31"/>
  <c r="K32"/>
  <c r="O32"/>
  <c r="P32" s="1"/>
  <c r="Q32" s="1"/>
  <c r="J32"/>
  <c r="K33"/>
  <c r="J33"/>
  <c r="O33"/>
  <c r="P33" s="1"/>
  <c r="Q33" s="1"/>
  <c r="U33" s="1"/>
  <c r="K34"/>
  <c r="J34"/>
  <c r="O34"/>
  <c r="P34" s="1"/>
  <c r="Q34" s="1"/>
  <c r="K35"/>
  <c r="O35"/>
  <c r="P35" s="1"/>
  <c r="Q35" s="1"/>
  <c r="J35"/>
  <c r="K36"/>
  <c r="O36"/>
  <c r="P36" s="1"/>
  <c r="Q36" s="1"/>
  <c r="J36"/>
  <c r="J37"/>
  <c r="K37"/>
  <c r="O37"/>
  <c r="P37" s="1"/>
  <c r="Q37" s="1"/>
  <c r="U37" s="1"/>
  <c r="K38"/>
  <c r="O38"/>
  <c r="P38" s="1"/>
  <c r="Q38" s="1"/>
  <c r="J38"/>
  <c r="K39"/>
  <c r="O39"/>
  <c r="P39" s="1"/>
  <c r="Q39" s="1"/>
  <c r="J39"/>
  <c r="K40"/>
  <c r="O40"/>
  <c r="P40" s="1"/>
  <c r="Q40" s="1"/>
  <c r="J40"/>
  <c r="J41"/>
  <c r="K41"/>
  <c r="O41"/>
  <c r="P41" s="1"/>
  <c r="Q41" s="1"/>
  <c r="U41" s="1"/>
  <c r="O42"/>
  <c r="P42" s="1"/>
  <c r="Q42" s="1"/>
  <c r="J42"/>
  <c r="K42"/>
  <c r="O43"/>
  <c r="P43" s="1"/>
  <c r="Q43" s="1"/>
  <c r="J43"/>
  <c r="K43"/>
  <c r="O44"/>
  <c r="P44" s="1"/>
  <c r="Q44" s="1"/>
  <c r="J44"/>
  <c r="K44"/>
  <c r="K45"/>
  <c r="O45"/>
  <c r="P45" s="1"/>
  <c r="Q45" s="1"/>
  <c r="U45" s="1"/>
  <c r="J45"/>
  <c r="K46"/>
  <c r="O46"/>
  <c r="P46" s="1"/>
  <c r="Q46" s="1"/>
  <c r="J46"/>
  <c r="K47"/>
  <c r="O47"/>
  <c r="P47" s="1"/>
  <c r="Q47" s="1"/>
  <c r="J47"/>
  <c r="J48"/>
  <c r="K48"/>
  <c r="O48"/>
  <c r="P48" s="1"/>
  <c r="Q48" s="1"/>
  <c r="U48" s="1"/>
  <c r="K49"/>
  <c r="O49"/>
  <c r="P49" s="1"/>
  <c r="Q49" s="1"/>
  <c r="J49"/>
  <c r="O50"/>
  <c r="P50" s="1"/>
  <c r="Q50" s="1"/>
  <c r="J50"/>
  <c r="K50"/>
  <c r="J51"/>
  <c r="K51"/>
  <c r="O51"/>
  <c r="P51" s="1"/>
  <c r="Q51" s="1"/>
  <c r="K52"/>
  <c r="O52"/>
  <c r="P52" s="1"/>
  <c r="Q52" s="1"/>
  <c r="J52"/>
  <c r="J53"/>
  <c r="K53"/>
  <c r="O53"/>
  <c r="P53" s="1"/>
  <c r="Q53" s="1"/>
  <c r="O54"/>
  <c r="P54" s="1"/>
  <c r="Q54" s="1"/>
  <c r="K54"/>
  <c r="J54"/>
  <c r="K55"/>
  <c r="O55"/>
  <c r="P55" s="1"/>
  <c r="Q55" s="1"/>
  <c r="J55"/>
  <c r="O56"/>
  <c r="P56" s="1"/>
  <c r="Q56" s="1"/>
  <c r="K56"/>
  <c r="J56"/>
  <c r="J57"/>
  <c r="K57"/>
  <c r="O57"/>
  <c r="P57" s="1"/>
  <c r="Q57" s="1"/>
  <c r="J58"/>
  <c r="O58"/>
  <c r="P58" s="1"/>
  <c r="Q58" s="1"/>
  <c r="K58"/>
  <c r="K59"/>
  <c r="J59"/>
  <c r="O59"/>
  <c r="P59" s="1"/>
  <c r="Q59" s="1"/>
  <c r="U59" s="1"/>
  <c r="O60"/>
  <c r="P60" s="1"/>
  <c r="Q60" s="1"/>
  <c r="K60"/>
  <c r="J60"/>
  <c r="O61"/>
  <c r="P61" s="1"/>
  <c r="Q61" s="1"/>
  <c r="J61"/>
  <c r="K61"/>
  <c r="K62"/>
  <c r="J62"/>
  <c r="O62"/>
  <c r="P62" s="1"/>
  <c r="Q62" s="1"/>
  <c r="K63"/>
  <c r="J63"/>
  <c r="O63"/>
  <c r="P63" s="1"/>
  <c r="Q63" s="1"/>
  <c r="J64"/>
  <c r="O64"/>
  <c r="P64" s="1"/>
  <c r="Q64" s="1"/>
  <c r="K64"/>
  <c r="K65"/>
  <c r="O65"/>
  <c r="P65" s="1"/>
  <c r="Q65" s="1"/>
  <c r="J65"/>
  <c r="K66"/>
  <c r="O66"/>
  <c r="P66" s="1"/>
  <c r="Q66" s="1"/>
  <c r="J66"/>
  <c r="K67"/>
  <c r="J67"/>
  <c r="O67"/>
  <c r="P67" s="1"/>
  <c r="Q67" s="1"/>
  <c r="U67" s="1"/>
  <c r="O68"/>
  <c r="P68" s="1"/>
  <c r="Q68" s="1"/>
  <c r="K68"/>
  <c r="J68"/>
  <c r="O69"/>
  <c r="P69" s="1"/>
  <c r="Q69" s="1"/>
  <c r="K69"/>
  <c r="J69"/>
  <c r="K70"/>
  <c r="J70"/>
  <c r="O70"/>
  <c r="P70" s="1"/>
  <c r="Q70" s="1"/>
  <c r="K71"/>
  <c r="O71"/>
  <c r="P71" s="1"/>
  <c r="Q71" s="1"/>
  <c r="J71"/>
  <c r="K72"/>
  <c r="O72"/>
  <c r="P72" s="1"/>
  <c r="Q72" s="1"/>
  <c r="J72"/>
  <c r="K73"/>
  <c r="O73"/>
  <c r="P73" s="1"/>
  <c r="Q73" s="1"/>
  <c r="J73"/>
  <c r="J74"/>
  <c r="K74"/>
  <c r="O74"/>
  <c r="P74" s="1"/>
  <c r="Q74" s="1"/>
  <c r="U74" s="1"/>
  <c r="O75"/>
  <c r="P75" s="1"/>
  <c r="Q75" s="1"/>
  <c r="J75"/>
  <c r="K75"/>
  <c r="K76"/>
  <c r="J76"/>
  <c r="O76"/>
  <c r="P76" s="1"/>
  <c r="Q76" s="1"/>
  <c r="K77"/>
  <c r="O77"/>
  <c r="P77" s="1"/>
  <c r="Q77" s="1"/>
  <c r="J77"/>
  <c r="J78"/>
  <c r="K78"/>
  <c r="O78"/>
  <c r="P78" s="1"/>
  <c r="Q78" s="1"/>
  <c r="U78" s="1"/>
  <c r="K79"/>
  <c r="O79"/>
  <c r="P79" s="1"/>
  <c r="Q79" s="1"/>
  <c r="J79"/>
  <c r="O80"/>
  <c r="P80" s="1"/>
  <c r="Q80" s="1"/>
  <c r="K80"/>
  <c r="J80"/>
  <c r="K81"/>
  <c r="O81"/>
  <c r="P81" s="1"/>
  <c r="Q81" s="1"/>
  <c r="U81" s="1"/>
  <c r="J81"/>
  <c r="K82"/>
  <c r="O82"/>
  <c r="P82" s="1"/>
  <c r="Q82" s="1"/>
  <c r="J82"/>
  <c r="J83"/>
  <c r="K83"/>
  <c r="O83"/>
  <c r="P83" s="1"/>
  <c r="Q83" s="1"/>
  <c r="U83" s="1"/>
  <c r="K84"/>
  <c r="J84"/>
  <c r="O84"/>
  <c r="P84" s="1"/>
  <c r="Q84" s="1"/>
  <c r="J85"/>
  <c r="K85"/>
  <c r="O85"/>
  <c r="P85" s="1"/>
  <c r="Q85" s="1"/>
  <c r="J86"/>
  <c r="K86"/>
  <c r="O86"/>
  <c r="P86" s="1"/>
  <c r="Q86" s="1"/>
  <c r="J87"/>
  <c r="O87"/>
  <c r="P87" s="1"/>
  <c r="Q87" s="1"/>
  <c r="K87"/>
  <c r="K88"/>
  <c r="O88"/>
  <c r="P88" s="1"/>
  <c r="Q88" s="1"/>
  <c r="J88"/>
  <c r="J89"/>
  <c r="K89"/>
  <c r="O89"/>
  <c r="P89" s="1"/>
  <c r="Q89" s="1"/>
  <c r="U89" s="1"/>
  <c r="K90"/>
  <c r="O90"/>
  <c r="P90" s="1"/>
  <c r="Q90" s="1"/>
  <c r="J90"/>
  <c r="K91"/>
  <c r="J91"/>
  <c r="O91"/>
  <c r="P91" s="1"/>
  <c r="Q91" s="1"/>
  <c r="U91" s="1"/>
  <c r="J92"/>
  <c r="O92"/>
  <c r="P92" s="1"/>
  <c r="Q92" s="1"/>
  <c r="K92"/>
  <c r="J93"/>
  <c r="O93"/>
  <c r="P93" s="1"/>
  <c r="Q93" s="1"/>
  <c r="K93"/>
  <c r="J94"/>
  <c r="K94"/>
  <c r="O94"/>
  <c r="P94" s="1"/>
  <c r="Q94" s="1"/>
  <c r="U94" s="1"/>
  <c r="K95"/>
  <c r="J95"/>
  <c r="O95"/>
  <c r="P95" s="1"/>
  <c r="Q95" s="1"/>
  <c r="J96"/>
  <c r="K96"/>
  <c r="O96"/>
  <c r="P96" s="1"/>
  <c r="Q96" s="1"/>
  <c r="K97"/>
  <c r="O97"/>
  <c r="P97" s="1"/>
  <c r="Q97" s="1"/>
  <c r="J97"/>
  <c r="K98"/>
  <c r="O98"/>
  <c r="P98" s="1"/>
  <c r="Q98" s="1"/>
  <c r="J98"/>
  <c r="J99"/>
  <c r="K99"/>
  <c r="O99"/>
  <c r="P99" s="1"/>
  <c r="Q99" s="1"/>
  <c r="U99" s="1"/>
  <c r="K100"/>
  <c r="O100"/>
  <c r="P100" s="1"/>
  <c r="Q100" s="1"/>
  <c r="J100"/>
  <c r="K101"/>
  <c r="O101"/>
  <c r="P101" s="1"/>
  <c r="Q101" s="1"/>
  <c r="J101"/>
  <c r="K102"/>
  <c r="O102"/>
  <c r="P102" s="1"/>
  <c r="Q102" s="1"/>
  <c r="J102"/>
  <c r="J103"/>
  <c r="K103"/>
  <c r="O103"/>
  <c r="P103" s="1"/>
  <c r="Q103" s="1"/>
  <c r="U103" s="1"/>
  <c r="J104"/>
  <c r="K104"/>
  <c r="O104"/>
  <c r="P104" s="1"/>
  <c r="Q104" s="1"/>
  <c r="J105"/>
  <c r="K105"/>
  <c r="O105"/>
  <c r="P105" s="1"/>
  <c r="Q105" s="1"/>
  <c r="K106"/>
  <c r="J106"/>
  <c r="O106"/>
  <c r="P106" s="1"/>
  <c r="Q106" s="1"/>
  <c r="K107"/>
  <c r="O107"/>
  <c r="P107" s="1"/>
  <c r="Q107" s="1"/>
  <c r="J107"/>
  <c r="K108"/>
  <c r="O108"/>
  <c r="P108" s="1"/>
  <c r="Q108" s="1"/>
  <c r="J108"/>
  <c r="O109"/>
  <c r="P109" s="1"/>
  <c r="Q109" s="1"/>
  <c r="J109"/>
  <c r="K109"/>
  <c r="K110"/>
  <c r="O110"/>
  <c r="P110" s="1"/>
  <c r="Q110" s="1"/>
  <c r="U110" s="1"/>
  <c r="J110"/>
  <c r="K111"/>
  <c r="O111"/>
  <c r="P111" s="1"/>
  <c r="Q111" s="1"/>
  <c r="J111"/>
  <c r="K112"/>
  <c r="O112"/>
  <c r="P112" s="1"/>
  <c r="Q112" s="1"/>
  <c r="J112"/>
  <c r="J113"/>
  <c r="K113"/>
  <c r="O113"/>
  <c r="P113" s="1"/>
  <c r="Q113" s="1"/>
  <c r="U113" s="1"/>
  <c r="J114"/>
  <c r="O114"/>
  <c r="P114" s="1"/>
  <c r="Q114" s="1"/>
  <c r="K114"/>
  <c r="K115"/>
  <c r="J115"/>
  <c r="O115"/>
  <c r="P115" s="1"/>
  <c r="Q115" s="1"/>
  <c r="U115" s="1"/>
  <c r="K116"/>
  <c r="O116"/>
  <c r="P116" s="1"/>
  <c r="Q116" s="1"/>
  <c r="J116"/>
  <c r="K117"/>
  <c r="O117"/>
  <c r="P117" s="1"/>
  <c r="Q117" s="1"/>
  <c r="J117"/>
  <c r="K118"/>
  <c r="O118"/>
  <c r="P118" s="1"/>
  <c r="Q118" s="1"/>
  <c r="J118"/>
  <c r="K119"/>
  <c r="O119"/>
  <c r="P119" s="1"/>
  <c r="Q119" s="1"/>
  <c r="J119"/>
  <c r="K120"/>
  <c r="O120"/>
  <c r="P120" s="1"/>
  <c r="Q120" s="1"/>
  <c r="J120"/>
  <c r="K121"/>
  <c r="O121"/>
  <c r="P121" s="1"/>
  <c r="Q121" s="1"/>
  <c r="J121"/>
  <c r="O122"/>
  <c r="P122" s="1"/>
  <c r="Q122" s="1"/>
  <c r="K122"/>
  <c r="J122"/>
  <c r="J123"/>
  <c r="O123"/>
  <c r="P123" s="1"/>
  <c r="Q123" s="1"/>
  <c r="U123" s="1"/>
  <c r="K123"/>
  <c r="O124"/>
  <c r="P124" s="1"/>
  <c r="Q124" s="1"/>
  <c r="J124"/>
  <c r="K124"/>
  <c r="J125"/>
  <c r="K125"/>
  <c r="O125"/>
  <c r="P125" s="1"/>
  <c r="Q125" s="1"/>
  <c r="K126"/>
  <c r="O126"/>
  <c r="P126" s="1"/>
  <c r="Q126" s="1"/>
  <c r="J126"/>
  <c r="J127"/>
  <c r="K127"/>
  <c r="O127"/>
  <c r="P127" s="1"/>
  <c r="Q127" s="1"/>
  <c r="U127" s="1"/>
  <c r="K128"/>
  <c r="O128"/>
  <c r="P128" s="1"/>
  <c r="Q128" s="1"/>
  <c r="J128"/>
  <c r="K129"/>
  <c r="J129"/>
  <c r="O129"/>
  <c r="P129" s="1"/>
  <c r="Q129" s="1"/>
  <c r="K130"/>
  <c r="O130"/>
  <c r="P130" s="1"/>
  <c r="Q130" s="1"/>
  <c r="J130"/>
  <c r="O131"/>
  <c r="P131" s="1"/>
  <c r="Q131" s="1"/>
  <c r="J131"/>
  <c r="K131"/>
  <c r="J132"/>
  <c r="K132"/>
  <c r="O132"/>
  <c r="P132" s="1"/>
  <c r="Q132" s="1"/>
  <c r="J133"/>
  <c r="K133"/>
  <c r="O133"/>
  <c r="P133" s="1"/>
  <c r="Q133" s="1"/>
  <c r="J134"/>
  <c r="O134"/>
  <c r="P134" s="1"/>
  <c r="Q134" s="1"/>
  <c r="K134"/>
  <c r="J135"/>
  <c r="O135"/>
  <c r="P135" s="1"/>
  <c r="Q135" s="1"/>
  <c r="K135"/>
  <c r="O136"/>
  <c r="P136" s="1"/>
  <c r="Q136" s="1"/>
  <c r="J136"/>
  <c r="K136"/>
  <c r="O137"/>
  <c r="P137" s="1"/>
  <c r="Q137" s="1"/>
  <c r="J137"/>
  <c r="K137"/>
  <c r="K138"/>
  <c r="O138"/>
  <c r="P138" s="1"/>
  <c r="Q138" s="1"/>
  <c r="U138" s="1"/>
  <c r="J138"/>
  <c r="J139"/>
  <c r="O139"/>
  <c r="P139" s="1"/>
  <c r="Q139" s="1"/>
  <c r="K139"/>
  <c r="K140"/>
  <c r="O140"/>
  <c r="P140" s="1"/>
  <c r="Q140" s="1"/>
  <c r="J140"/>
  <c r="O141"/>
  <c r="P141" s="1"/>
  <c r="Q141" s="1"/>
  <c r="J141"/>
  <c r="K141"/>
  <c r="J142"/>
  <c r="K142"/>
  <c r="O142"/>
  <c r="P142" s="1"/>
  <c r="Q142" s="1"/>
  <c r="O143"/>
  <c r="P143" s="1"/>
  <c r="Q143" s="1"/>
  <c r="J143"/>
  <c r="K143"/>
  <c r="O144"/>
  <c r="P144" s="1"/>
  <c r="Q144" s="1"/>
  <c r="K144"/>
  <c r="J144"/>
  <c r="O145"/>
  <c r="P145" s="1"/>
  <c r="Q145" s="1"/>
  <c r="J145"/>
  <c r="K145"/>
  <c r="J146"/>
  <c r="K146"/>
  <c r="O146"/>
  <c r="P146" s="1"/>
  <c r="Q146" s="1"/>
  <c r="N186"/>
  <c r="W186" s="1"/>
  <c r="V186"/>
  <c r="AA187"/>
  <c r="AC187"/>
  <c r="G188"/>
  <c r="AB187"/>
  <c r="I187"/>
  <c r="J187" s="1"/>
  <c r="X185"/>
  <c r="Y185" s="1"/>
  <c r="Z185" s="1"/>
  <c r="J17"/>
  <c r="K17"/>
  <c r="O17"/>
  <c r="P17" s="1"/>
  <c r="Q17" s="1"/>
  <c r="J18"/>
  <c r="K18"/>
  <c r="O18"/>
  <c r="P18" s="1"/>
  <c r="Q18" s="1"/>
  <c r="J19"/>
  <c r="K19"/>
  <c r="O19"/>
  <c r="P19" s="1"/>
  <c r="Q19" s="1"/>
  <c r="J20"/>
  <c r="K20"/>
  <c r="O20"/>
  <c r="P20" s="1"/>
  <c r="Q20" s="1"/>
  <c r="J21"/>
  <c r="K21"/>
  <c r="O21"/>
  <c r="P21" s="1"/>
  <c r="Q21" s="1"/>
  <c r="J22"/>
  <c r="K22"/>
  <c r="O22"/>
  <c r="P22" s="1"/>
  <c r="Q22" s="1"/>
  <c r="J23"/>
  <c r="K23"/>
  <c r="O23"/>
  <c r="P23" s="1"/>
  <c r="Q23" s="1"/>
  <c r="J24"/>
  <c r="K24"/>
  <c r="O24"/>
  <c r="P24" s="1"/>
  <c r="Q24" s="1"/>
  <c r="J25"/>
  <c r="K25"/>
  <c r="O25"/>
  <c r="P25" s="1"/>
  <c r="Q25" s="1"/>
  <c r="J26"/>
  <c r="K26"/>
  <c r="O26"/>
  <c r="P26" s="1"/>
  <c r="Q26" s="1"/>
  <c r="J27"/>
  <c r="K27"/>
  <c r="O27"/>
  <c r="P27" s="1"/>
  <c r="Q27" s="1"/>
  <c r="J147"/>
  <c r="K147"/>
  <c r="O147"/>
  <c r="P147" s="1"/>
  <c r="Q147" s="1"/>
  <c r="J148"/>
  <c r="K148"/>
  <c r="O148"/>
  <c r="P148" s="1"/>
  <c r="Q148" s="1"/>
  <c r="J149"/>
  <c r="K149"/>
  <c r="O149"/>
  <c r="P149" s="1"/>
  <c r="Q149" s="1"/>
  <c r="J150"/>
  <c r="K150"/>
  <c r="O150"/>
  <c r="P150" s="1"/>
  <c r="Q150" s="1"/>
  <c r="J151"/>
  <c r="K151"/>
  <c r="O151"/>
  <c r="P151" s="1"/>
  <c r="Q151" s="1"/>
  <c r="J152"/>
  <c r="K152"/>
  <c r="O152"/>
  <c r="P152" s="1"/>
  <c r="Q152" s="1"/>
  <c r="J153"/>
  <c r="K153"/>
  <c r="O153"/>
  <c r="P153" s="1"/>
  <c r="Q153" s="1"/>
  <c r="J154"/>
  <c r="K154"/>
  <c r="O154"/>
  <c r="P154" s="1"/>
  <c r="Q154" s="1"/>
  <c r="J155"/>
  <c r="K155"/>
  <c r="O155"/>
  <c r="P155" s="1"/>
  <c r="Q155" s="1"/>
  <c r="J156"/>
  <c r="K156"/>
  <c r="O156"/>
  <c r="P156" s="1"/>
  <c r="Q156" s="1"/>
  <c r="J157"/>
  <c r="K157"/>
  <c r="O157"/>
  <c r="P157" s="1"/>
  <c r="Q157" s="1"/>
  <c r="J158"/>
  <c r="K158"/>
  <c r="O158"/>
  <c r="P158" s="1"/>
  <c r="Q158" s="1"/>
  <c r="J159"/>
  <c r="K159"/>
  <c r="O159"/>
  <c r="P159" s="1"/>
  <c r="Q159" s="1"/>
  <c r="J160"/>
  <c r="K160"/>
  <c r="O160"/>
  <c r="P160" s="1"/>
  <c r="Q160" s="1"/>
  <c r="J161"/>
  <c r="K161"/>
  <c r="O161"/>
  <c r="P161" s="1"/>
  <c r="Q161" s="1"/>
  <c r="J162"/>
  <c r="K162"/>
  <c r="O162"/>
  <c r="P162" s="1"/>
  <c r="Q162" s="1"/>
  <c r="J163"/>
  <c r="K163"/>
  <c r="O163"/>
  <c r="P163" s="1"/>
  <c r="Q163" s="1"/>
  <c r="J164"/>
  <c r="K164"/>
  <c r="O164"/>
  <c r="P164" s="1"/>
  <c r="Q164" s="1"/>
  <c r="J165"/>
  <c r="K165"/>
  <c r="O165"/>
  <c r="P165" s="1"/>
  <c r="Q165" s="1"/>
  <c r="J166"/>
  <c r="K166"/>
  <c r="O166"/>
  <c r="P166" s="1"/>
  <c r="Q166" s="1"/>
  <c r="J167"/>
  <c r="K167"/>
  <c r="O167"/>
  <c r="P167" s="1"/>
  <c r="Q167" s="1"/>
  <c r="J168"/>
  <c r="K168"/>
  <c r="O168"/>
  <c r="P168" s="1"/>
  <c r="Q168" s="1"/>
  <c r="J169"/>
  <c r="K169"/>
  <c r="O169"/>
  <c r="P169" s="1"/>
  <c r="Q169" s="1"/>
  <c r="J170"/>
  <c r="K170"/>
  <c r="O170"/>
  <c r="P170" s="1"/>
  <c r="Q170" s="1"/>
  <c r="J171"/>
  <c r="K171"/>
  <c r="O171"/>
  <c r="P171" s="1"/>
  <c r="Q171" s="1"/>
  <c r="J172"/>
  <c r="K172"/>
  <c r="O172"/>
  <c r="P172" s="1"/>
  <c r="Q172" s="1"/>
  <c r="J173"/>
  <c r="K173"/>
  <c r="O173"/>
  <c r="P173" s="1"/>
  <c r="Q173" s="1"/>
  <c r="J174"/>
  <c r="K174"/>
  <c r="O174"/>
  <c r="P174" s="1"/>
  <c r="Q174" s="1"/>
  <c r="J175"/>
  <c r="K175"/>
  <c r="O175"/>
  <c r="P175" s="1"/>
  <c r="Q175" s="1"/>
  <c r="J176"/>
  <c r="K176"/>
  <c r="O176"/>
  <c r="P176" s="1"/>
  <c r="Q176" s="1"/>
  <c r="J177"/>
  <c r="K177"/>
  <c r="O177"/>
  <c r="P177" s="1"/>
  <c r="Q177" s="1"/>
  <c r="J178"/>
  <c r="K178"/>
  <c r="O178"/>
  <c r="P178" s="1"/>
  <c r="Q178" s="1"/>
  <c r="J179"/>
  <c r="K179"/>
  <c r="O179"/>
  <c r="P179" s="1"/>
  <c r="Q179" s="1"/>
  <c r="J180"/>
  <c r="K180"/>
  <c r="O180"/>
  <c r="P180" s="1"/>
  <c r="Q180" s="1"/>
  <c r="J181"/>
  <c r="K181"/>
  <c r="O181"/>
  <c r="P181" s="1"/>
  <c r="Q181" s="1"/>
  <c r="J182"/>
  <c r="K182"/>
  <c r="O182"/>
  <c r="P182" s="1"/>
  <c r="Q182" s="1"/>
  <c r="J183"/>
  <c r="K183"/>
  <c r="O183"/>
  <c r="P183" s="1"/>
  <c r="Q183" s="1"/>
  <c r="J184"/>
  <c r="K184"/>
  <c r="O184"/>
  <c r="P184" s="1"/>
  <c r="Q184" s="1"/>
  <c r="J185"/>
  <c r="K185"/>
  <c r="O185"/>
  <c r="P185" s="1"/>
  <c r="Q185" s="1"/>
  <c r="J186"/>
  <c r="K186"/>
  <c r="O186"/>
  <c r="P186" s="1"/>
  <c r="Q186" s="1"/>
  <c r="F2" i="21"/>
  <c r="O10" i="19"/>
  <c r="P10" s="1"/>
  <c r="Q10" s="1"/>
  <c r="O9"/>
  <c r="P9" s="1"/>
  <c r="J9"/>
  <c r="K11"/>
  <c r="K13"/>
  <c r="K9"/>
  <c r="K15"/>
  <c r="J11"/>
  <c r="O11"/>
  <c r="P11" s="1"/>
  <c r="Q11" s="1"/>
  <c r="O12"/>
  <c r="P12" s="1"/>
  <c r="Q12" s="1"/>
  <c r="J13"/>
  <c r="O13"/>
  <c r="P13" s="1"/>
  <c r="Q13" s="1"/>
  <c r="O14"/>
  <c r="P14" s="1"/>
  <c r="Q14" s="1"/>
  <c r="J15"/>
  <c r="O15"/>
  <c r="P15" s="1"/>
  <c r="Q15" s="1"/>
  <c r="J16"/>
  <c r="O16"/>
  <c r="P16" s="1"/>
  <c r="Q16" s="1"/>
  <c r="K12"/>
  <c r="K14"/>
  <c r="K16"/>
  <c r="K10"/>
  <c r="J12"/>
  <c r="J14"/>
  <c r="N17" i="14" l="1"/>
  <c r="U55" i="19"/>
  <c r="U31"/>
  <c r="U28"/>
  <c r="H216"/>
  <c r="T18" i="14" s="1"/>
  <c r="K18" s="1"/>
  <c r="L18" s="1"/>
  <c r="U129" i="19"/>
  <c r="U53"/>
  <c r="O187"/>
  <c r="K187"/>
  <c r="L187" s="1"/>
  <c r="M187" s="1"/>
  <c r="L139"/>
  <c r="M139" s="1"/>
  <c r="L135"/>
  <c r="M135" s="1"/>
  <c r="U131"/>
  <c r="U128"/>
  <c r="L123"/>
  <c r="M123" s="1"/>
  <c r="L121"/>
  <c r="M121" s="1"/>
  <c r="L117"/>
  <c r="M117" s="1"/>
  <c r="L101"/>
  <c r="M101" s="1"/>
  <c r="U100"/>
  <c r="L97"/>
  <c r="M97" s="1"/>
  <c r="U92"/>
  <c r="L87"/>
  <c r="M87" s="1"/>
  <c r="L81"/>
  <c r="M81" s="1"/>
  <c r="L77"/>
  <c r="M77" s="1"/>
  <c r="L65"/>
  <c r="M65" s="1"/>
  <c r="U64"/>
  <c r="U52"/>
  <c r="L49"/>
  <c r="M49" s="1"/>
  <c r="L45"/>
  <c r="M45" s="1"/>
  <c r="L106"/>
  <c r="M106" s="1"/>
  <c r="L70"/>
  <c r="M70" s="1"/>
  <c r="L62"/>
  <c r="M62" s="1"/>
  <c r="U51"/>
  <c r="L34"/>
  <c r="M34" s="1"/>
  <c r="U29"/>
  <c r="U112"/>
  <c r="U108"/>
  <c r="U105"/>
  <c r="L103"/>
  <c r="M103" s="1"/>
  <c r="L99"/>
  <c r="M99" s="1"/>
  <c r="U88"/>
  <c r="U85"/>
  <c r="L83"/>
  <c r="M83" s="1"/>
  <c r="U72"/>
  <c r="L51"/>
  <c r="M51" s="1"/>
  <c r="L44"/>
  <c r="M44" s="1"/>
  <c r="U43"/>
  <c r="U40"/>
  <c r="U36"/>
  <c r="U32"/>
  <c r="L113"/>
  <c r="M113" s="1"/>
  <c r="L105"/>
  <c r="M105" s="1"/>
  <c r="U102"/>
  <c r="U98"/>
  <c r="U95"/>
  <c r="L89"/>
  <c r="M89" s="1"/>
  <c r="L85"/>
  <c r="M85" s="1"/>
  <c r="U82"/>
  <c r="U69"/>
  <c r="U66"/>
  <c r="U63"/>
  <c r="U61"/>
  <c r="L57"/>
  <c r="M57" s="1"/>
  <c r="L53"/>
  <c r="M53" s="1"/>
  <c r="L50"/>
  <c r="M50" s="1"/>
  <c r="U46"/>
  <c r="L42"/>
  <c r="M42" s="1"/>
  <c r="L84"/>
  <c r="M84" s="1"/>
  <c r="L76"/>
  <c r="M76" s="1"/>
  <c r="U75"/>
  <c r="L69"/>
  <c r="M69" s="1"/>
  <c r="U57"/>
  <c r="L114"/>
  <c r="M114" s="1"/>
  <c r="L112"/>
  <c r="M112" s="1"/>
  <c r="L108"/>
  <c r="M108" s="1"/>
  <c r="L72"/>
  <c r="M72" s="1"/>
  <c r="U71"/>
  <c r="L58"/>
  <c r="M58" s="1"/>
  <c r="L41"/>
  <c r="M41" s="1"/>
  <c r="L73"/>
  <c r="M73" s="1"/>
  <c r="U107"/>
  <c r="L88"/>
  <c r="M88" s="1"/>
  <c r="U87"/>
  <c r="U79"/>
  <c r="L52"/>
  <c r="M52" s="1"/>
  <c r="T52" s="1"/>
  <c r="U50"/>
  <c r="L40"/>
  <c r="M40" s="1"/>
  <c r="L37"/>
  <c r="M37" s="1"/>
  <c r="L30"/>
  <c r="M30" s="1"/>
  <c r="U146"/>
  <c r="L145"/>
  <c r="M145" s="1"/>
  <c r="U144"/>
  <c r="U142"/>
  <c r="L141"/>
  <c r="M141" s="1"/>
  <c r="L138"/>
  <c r="M138" s="1"/>
  <c r="L137"/>
  <c r="M137" s="1"/>
  <c r="U136"/>
  <c r="L132"/>
  <c r="M132" s="1"/>
  <c r="L130"/>
  <c r="M130" s="1"/>
  <c r="L129"/>
  <c r="M129" s="1"/>
  <c r="L126"/>
  <c r="M126" s="1"/>
  <c r="U124"/>
  <c r="L122"/>
  <c r="M122" s="1"/>
  <c r="U121"/>
  <c r="L118"/>
  <c r="M118" s="1"/>
  <c r="T118" s="1"/>
  <c r="U117"/>
  <c r="L29"/>
  <c r="M29" s="1"/>
  <c r="L28"/>
  <c r="M28" s="1"/>
  <c r="L146"/>
  <c r="M146" s="1"/>
  <c r="L144"/>
  <c r="M144" s="1"/>
  <c r="L143"/>
  <c r="M143" s="1"/>
  <c r="L142"/>
  <c r="M142" s="1"/>
  <c r="U139"/>
  <c r="U135"/>
  <c r="U132"/>
  <c r="L131"/>
  <c r="M131" s="1"/>
  <c r="U119"/>
  <c r="L100"/>
  <c r="M100" s="1"/>
  <c r="T101" s="1"/>
  <c r="L36"/>
  <c r="M36" s="1"/>
  <c r="U35"/>
  <c r="L32"/>
  <c r="M32" s="1"/>
  <c r="O17" i="14"/>
  <c r="P17" s="1"/>
  <c r="L140" i="19"/>
  <c r="M140" s="1"/>
  <c r="T140" s="1"/>
  <c r="L134"/>
  <c r="M134" s="1"/>
  <c r="T135" s="1"/>
  <c r="L128"/>
  <c r="M128" s="1"/>
  <c r="U122"/>
  <c r="L120"/>
  <c r="M120" s="1"/>
  <c r="L116"/>
  <c r="M116" s="1"/>
  <c r="U114"/>
  <c r="L111"/>
  <c r="M111" s="1"/>
  <c r="U109"/>
  <c r="L107"/>
  <c r="M107" s="1"/>
  <c r="L93"/>
  <c r="M93" s="1"/>
  <c r="U90"/>
  <c r="L79"/>
  <c r="M79" s="1"/>
  <c r="L71"/>
  <c r="M71" s="1"/>
  <c r="T72" s="1"/>
  <c r="U58"/>
  <c r="L55"/>
  <c r="M55" s="1"/>
  <c r="L47"/>
  <c r="M47" s="1"/>
  <c r="L39"/>
  <c r="M39" s="1"/>
  <c r="U38"/>
  <c r="L35"/>
  <c r="M35" s="1"/>
  <c r="T35" s="1"/>
  <c r="L31"/>
  <c r="M31" s="1"/>
  <c r="V187"/>
  <c r="N187"/>
  <c r="W187" s="1"/>
  <c r="U145"/>
  <c r="U141"/>
  <c r="U137"/>
  <c r="U134"/>
  <c r="L133"/>
  <c r="M133" s="1"/>
  <c r="U130"/>
  <c r="U126"/>
  <c r="L125"/>
  <c r="M125" s="1"/>
  <c r="T126" s="1"/>
  <c r="L119"/>
  <c r="M119" s="1"/>
  <c r="U118"/>
  <c r="L110"/>
  <c r="M110" s="1"/>
  <c r="L109"/>
  <c r="M109" s="1"/>
  <c r="U106"/>
  <c r="L104"/>
  <c r="M104" s="1"/>
  <c r="T104" s="1"/>
  <c r="L102"/>
  <c r="M102" s="1"/>
  <c r="U101"/>
  <c r="L98"/>
  <c r="M98" s="1"/>
  <c r="U97"/>
  <c r="L96"/>
  <c r="M96" s="1"/>
  <c r="T97" s="1"/>
  <c r="U93"/>
  <c r="L92"/>
  <c r="M92" s="1"/>
  <c r="L90"/>
  <c r="M90" s="1"/>
  <c r="U86"/>
  <c r="L82"/>
  <c r="M82" s="1"/>
  <c r="U80"/>
  <c r="U77"/>
  <c r="U73"/>
  <c r="U70"/>
  <c r="U68"/>
  <c r="L66"/>
  <c r="M66" s="1"/>
  <c r="U65"/>
  <c r="L64"/>
  <c r="M64" s="1"/>
  <c r="T65" s="1"/>
  <c r="U62"/>
  <c r="L61"/>
  <c r="M61" s="1"/>
  <c r="U60"/>
  <c r="U56"/>
  <c r="L54"/>
  <c r="M54" s="1"/>
  <c r="U49"/>
  <c r="L48"/>
  <c r="M48" s="1"/>
  <c r="L46"/>
  <c r="M46" s="1"/>
  <c r="T46" s="1"/>
  <c r="U44"/>
  <c r="L38"/>
  <c r="M38" s="1"/>
  <c r="U34"/>
  <c r="L33"/>
  <c r="M33" s="1"/>
  <c r="T33" s="1"/>
  <c r="AA188"/>
  <c r="AC188"/>
  <c r="AB188"/>
  <c r="G189"/>
  <c r="I188"/>
  <c r="X186"/>
  <c r="Y186" s="1"/>
  <c r="Z186" s="1"/>
  <c r="U143"/>
  <c r="U140"/>
  <c r="L136"/>
  <c r="M136" s="1"/>
  <c r="T136" s="1"/>
  <c r="U133"/>
  <c r="L127"/>
  <c r="M127" s="1"/>
  <c r="U125"/>
  <c r="L124"/>
  <c r="M124" s="1"/>
  <c r="U120"/>
  <c r="U116"/>
  <c r="L115"/>
  <c r="M115" s="1"/>
  <c r="U111"/>
  <c r="U104"/>
  <c r="U96"/>
  <c r="L95"/>
  <c r="M95" s="1"/>
  <c r="L94"/>
  <c r="M94" s="1"/>
  <c r="L91"/>
  <c r="M91" s="1"/>
  <c r="T88"/>
  <c r="L86"/>
  <c r="M86" s="1"/>
  <c r="U84"/>
  <c r="L80"/>
  <c r="M80" s="1"/>
  <c r="L78"/>
  <c r="M78" s="1"/>
  <c r="U76"/>
  <c r="L75"/>
  <c r="M75" s="1"/>
  <c r="L74"/>
  <c r="M74" s="1"/>
  <c r="L68"/>
  <c r="M68" s="1"/>
  <c r="L67"/>
  <c r="M67" s="1"/>
  <c r="L63"/>
  <c r="M63" s="1"/>
  <c r="T63" s="1"/>
  <c r="L60"/>
  <c r="M60" s="1"/>
  <c r="L59"/>
  <c r="M59" s="1"/>
  <c r="T59" s="1"/>
  <c r="L56"/>
  <c r="M56" s="1"/>
  <c r="U54"/>
  <c r="U47"/>
  <c r="L43"/>
  <c r="M43" s="1"/>
  <c r="U42"/>
  <c r="U39"/>
  <c r="U30"/>
  <c r="U15"/>
  <c r="U183"/>
  <c r="U179"/>
  <c r="U175"/>
  <c r="U171"/>
  <c r="U167"/>
  <c r="U163"/>
  <c r="U159"/>
  <c r="U155"/>
  <c r="U151"/>
  <c r="U147"/>
  <c r="U25"/>
  <c r="U21"/>
  <c r="U12"/>
  <c r="L12"/>
  <c r="M12" s="1"/>
  <c r="L15"/>
  <c r="M15" s="1"/>
  <c r="U184"/>
  <c r="U180"/>
  <c r="U176"/>
  <c r="U172"/>
  <c r="U168"/>
  <c r="U164"/>
  <c r="U160"/>
  <c r="U156"/>
  <c r="U152"/>
  <c r="U148"/>
  <c r="U26"/>
  <c r="U22"/>
  <c r="U18"/>
  <c r="L13"/>
  <c r="M13" s="1"/>
  <c r="U185"/>
  <c r="U181"/>
  <c r="U177"/>
  <c r="U173"/>
  <c r="U169"/>
  <c r="U165"/>
  <c r="U161"/>
  <c r="U157"/>
  <c r="U153"/>
  <c r="U149"/>
  <c r="U27"/>
  <c r="U23"/>
  <c r="U19"/>
  <c r="U13"/>
  <c r="L11"/>
  <c r="M11" s="1"/>
  <c r="U186"/>
  <c r="U182"/>
  <c r="U178"/>
  <c r="U174"/>
  <c r="U170"/>
  <c r="U166"/>
  <c r="U162"/>
  <c r="U158"/>
  <c r="U154"/>
  <c r="U150"/>
  <c r="U24"/>
  <c r="U20"/>
  <c r="L186"/>
  <c r="M186" s="1"/>
  <c r="L185"/>
  <c r="M185" s="1"/>
  <c r="L184"/>
  <c r="M184" s="1"/>
  <c r="L183"/>
  <c r="M183" s="1"/>
  <c r="L182"/>
  <c r="M182" s="1"/>
  <c r="L181"/>
  <c r="M181" s="1"/>
  <c r="L180"/>
  <c r="M180" s="1"/>
  <c r="L179"/>
  <c r="M179" s="1"/>
  <c r="L178"/>
  <c r="M178" s="1"/>
  <c r="L177"/>
  <c r="M177" s="1"/>
  <c r="L176"/>
  <c r="M176" s="1"/>
  <c r="L175"/>
  <c r="M175" s="1"/>
  <c r="L174"/>
  <c r="M174" s="1"/>
  <c r="L173"/>
  <c r="M173" s="1"/>
  <c r="L172"/>
  <c r="M172" s="1"/>
  <c r="L171"/>
  <c r="M171" s="1"/>
  <c r="L170"/>
  <c r="M170" s="1"/>
  <c r="L169"/>
  <c r="M169" s="1"/>
  <c r="L168"/>
  <c r="M168" s="1"/>
  <c r="L167"/>
  <c r="M167" s="1"/>
  <c r="L166"/>
  <c r="M166" s="1"/>
  <c r="L165"/>
  <c r="M165" s="1"/>
  <c r="L164"/>
  <c r="M164" s="1"/>
  <c r="L163"/>
  <c r="M163" s="1"/>
  <c r="L162"/>
  <c r="M162" s="1"/>
  <c r="L161"/>
  <c r="M161" s="1"/>
  <c r="L160"/>
  <c r="M160" s="1"/>
  <c r="L159"/>
  <c r="M159" s="1"/>
  <c r="L158"/>
  <c r="M158" s="1"/>
  <c r="L157"/>
  <c r="M157" s="1"/>
  <c r="L156"/>
  <c r="M156" s="1"/>
  <c r="L155"/>
  <c r="M155" s="1"/>
  <c r="L154"/>
  <c r="M154" s="1"/>
  <c r="L153"/>
  <c r="M153" s="1"/>
  <c r="L152"/>
  <c r="M152" s="1"/>
  <c r="L151"/>
  <c r="M151" s="1"/>
  <c r="L150"/>
  <c r="M150" s="1"/>
  <c r="L149"/>
  <c r="M149" s="1"/>
  <c r="L148"/>
  <c r="M148" s="1"/>
  <c r="L147"/>
  <c r="M147" s="1"/>
  <c r="L27"/>
  <c r="M27" s="1"/>
  <c r="L26"/>
  <c r="M26" s="1"/>
  <c r="L25"/>
  <c r="M25" s="1"/>
  <c r="L24"/>
  <c r="M24" s="1"/>
  <c r="L23"/>
  <c r="M23" s="1"/>
  <c r="L22"/>
  <c r="M22" s="1"/>
  <c r="L21"/>
  <c r="M21" s="1"/>
  <c r="L20"/>
  <c r="M20" s="1"/>
  <c r="L19"/>
  <c r="M19" s="1"/>
  <c r="L18"/>
  <c r="M18" s="1"/>
  <c r="L17"/>
  <c r="M17" s="1"/>
  <c r="U16"/>
  <c r="U17"/>
  <c r="G11" i="21"/>
  <c r="H11" s="1"/>
  <c r="L11" s="1"/>
  <c r="G12"/>
  <c r="H12" s="1"/>
  <c r="L12" s="1"/>
  <c r="G13"/>
  <c r="H13" s="1"/>
  <c r="L13" s="1"/>
  <c r="G14"/>
  <c r="H14" s="1"/>
  <c r="L14" s="1"/>
  <c r="G15"/>
  <c r="H15" s="1"/>
  <c r="L15" s="1"/>
  <c r="G16"/>
  <c r="H16" s="1"/>
  <c r="L16" s="1"/>
  <c r="G17"/>
  <c r="H17" s="1"/>
  <c r="L17" s="1"/>
  <c r="G18"/>
  <c r="H18" s="1"/>
  <c r="L18" s="1"/>
  <c r="G9"/>
  <c r="H9" s="1"/>
  <c r="L9" s="1"/>
  <c r="G10"/>
  <c r="H10" s="1"/>
  <c r="L10" s="1"/>
  <c r="L14" i="19"/>
  <c r="M14" s="1"/>
  <c r="U11"/>
  <c r="S11"/>
  <c r="S12"/>
  <c r="S13"/>
  <c r="S14"/>
  <c r="S15"/>
  <c r="S16"/>
  <c r="S10"/>
  <c r="Q9"/>
  <c r="U10" s="1"/>
  <c r="U14"/>
  <c r="L16"/>
  <c r="M16" s="1"/>
  <c r="L9"/>
  <c r="L10"/>
  <c r="M10" s="1"/>
  <c r="S210" l="1"/>
  <c r="N18" i="14"/>
  <c r="T13"/>
  <c r="T70" i="19"/>
  <c r="T14"/>
  <c r="T102"/>
  <c r="T38"/>
  <c r="T62"/>
  <c r="T121"/>
  <c r="T78"/>
  <c r="T98"/>
  <c r="T28"/>
  <c r="T74"/>
  <c r="T124"/>
  <c r="T83"/>
  <c r="T32"/>
  <c r="T76"/>
  <c r="T94"/>
  <c r="T117"/>
  <c r="T86"/>
  <c r="T115"/>
  <c r="T66"/>
  <c r="T31"/>
  <c r="T127"/>
  <c r="T119"/>
  <c r="T45"/>
  <c r="T114"/>
  <c r="T139"/>
  <c r="T141"/>
  <c r="T58"/>
  <c r="T82"/>
  <c r="T43"/>
  <c r="T40"/>
  <c r="T30"/>
  <c r="T100"/>
  <c r="T107"/>
  <c r="T90"/>
  <c r="T108"/>
  <c r="T54"/>
  <c r="T50"/>
  <c r="T122"/>
  <c r="T129"/>
  <c r="T77"/>
  <c r="T91"/>
  <c r="T142"/>
  <c r="T112"/>
  <c r="T131"/>
  <c r="T133"/>
  <c r="T106"/>
  <c r="T84"/>
  <c r="T71"/>
  <c r="T51"/>
  <c r="T123"/>
  <c r="T109"/>
  <c r="T53"/>
  <c r="T67"/>
  <c r="T89"/>
  <c r="T42"/>
  <c r="T48"/>
  <c r="T85"/>
  <c r="T113"/>
  <c r="P187"/>
  <c r="Q187" s="1"/>
  <c r="U187" s="1"/>
  <c r="T73"/>
  <c r="T11"/>
  <c r="T146"/>
  <c r="T13"/>
  <c r="T110"/>
  <c r="T36"/>
  <c r="T143"/>
  <c r="T29"/>
  <c r="T41"/>
  <c r="T37"/>
  <c r="T103"/>
  <c r="T12"/>
  <c r="T56"/>
  <c r="T80"/>
  <c r="T111"/>
  <c r="T132"/>
  <c r="T39"/>
  <c r="T144"/>
  <c r="T130"/>
  <c r="T138"/>
  <c r="T145"/>
  <c r="AC189"/>
  <c r="AB189"/>
  <c r="G190"/>
  <c r="I189"/>
  <c r="AA189"/>
  <c r="T68"/>
  <c r="T95"/>
  <c r="T44"/>
  <c r="T96"/>
  <c r="T116"/>
  <c r="N188"/>
  <c r="W188" s="1"/>
  <c r="V188"/>
  <c r="J188"/>
  <c r="O188"/>
  <c r="K188"/>
  <c r="T75"/>
  <c r="T69"/>
  <c r="T87"/>
  <c r="T64"/>
  <c r="T125"/>
  <c r="X187"/>
  <c r="Y187" s="1"/>
  <c r="Z187" s="1"/>
  <c r="T34"/>
  <c r="T47"/>
  <c r="T79"/>
  <c r="T105"/>
  <c r="T128"/>
  <c r="M18" i="14"/>
  <c r="O18"/>
  <c r="P18" s="1"/>
  <c r="T92" i="19"/>
  <c r="T57"/>
  <c r="T93"/>
  <c r="T60"/>
  <c r="T49"/>
  <c r="T81"/>
  <c r="T99"/>
  <c r="T137"/>
  <c r="T61"/>
  <c r="T55"/>
  <c r="T120"/>
  <c r="T134"/>
  <c r="T15"/>
  <c r="T18"/>
  <c r="T19"/>
  <c r="T20"/>
  <c r="T21"/>
  <c r="T22"/>
  <c r="T23"/>
  <c r="T24"/>
  <c r="T25"/>
  <c r="T26"/>
  <c r="T27"/>
  <c r="T147"/>
  <c r="T148"/>
  <c r="T149"/>
  <c r="T150"/>
  <c r="T151"/>
  <c r="T152"/>
  <c r="T153"/>
  <c r="T154"/>
  <c r="T155"/>
  <c r="T156"/>
  <c r="T157"/>
  <c r="T158"/>
  <c r="T159"/>
  <c r="T160"/>
  <c r="T161"/>
  <c r="T162"/>
  <c r="T163"/>
  <c r="T164"/>
  <c r="T165"/>
  <c r="T166"/>
  <c r="T167"/>
  <c r="T168"/>
  <c r="T169"/>
  <c r="T170"/>
  <c r="T171"/>
  <c r="T172"/>
  <c r="T173"/>
  <c r="T174"/>
  <c r="T175"/>
  <c r="T176"/>
  <c r="T177"/>
  <c r="T178"/>
  <c r="T179"/>
  <c r="T180"/>
  <c r="T181"/>
  <c r="T182"/>
  <c r="T183"/>
  <c r="T184"/>
  <c r="T185"/>
  <c r="T186"/>
  <c r="T187"/>
  <c r="T16"/>
  <c r="T17"/>
  <c r="L26" i="21"/>
  <c r="M9" i="19"/>
  <c r="T10" s="1"/>
  <c r="T14" i="14" l="1"/>
  <c r="K14" s="1"/>
  <c r="K13"/>
  <c r="X188" i="19"/>
  <c r="Y188" s="1"/>
  <c r="Z188" s="1"/>
  <c r="L188"/>
  <c r="M188" s="1"/>
  <c r="T188" s="1"/>
  <c r="P188"/>
  <c r="Q188" s="1"/>
  <c r="U188" s="1"/>
  <c r="AB190"/>
  <c r="I190"/>
  <c r="AA190"/>
  <c r="AC190"/>
  <c r="G191"/>
  <c r="N189"/>
  <c r="W189" s="1"/>
  <c r="V189"/>
  <c r="K189"/>
  <c r="J189"/>
  <c r="O189"/>
  <c r="L13" i="14" l="1"/>
  <c r="M13" s="1"/>
  <c r="P189" i="19"/>
  <c r="Q189" s="1"/>
  <c r="U189" s="1"/>
  <c r="N190"/>
  <c r="W190" s="1"/>
  <c r="V190"/>
  <c r="O190"/>
  <c r="J190"/>
  <c r="K190"/>
  <c r="L189"/>
  <c r="M189" s="1"/>
  <c r="T189" s="1"/>
  <c r="I191"/>
  <c r="AC191"/>
  <c r="G192"/>
  <c r="AA191"/>
  <c r="AB191"/>
  <c r="X189"/>
  <c r="Y189" s="1"/>
  <c r="Z189" s="1"/>
  <c r="L14" i="14"/>
  <c r="M14" s="1"/>
  <c r="X190" i="19" l="1"/>
  <c r="Y190" s="1"/>
  <c r="Z190" s="1"/>
  <c r="P190"/>
  <c r="Q190" s="1"/>
  <c r="U190" s="1"/>
  <c r="I192"/>
  <c r="AA192"/>
  <c r="AC192"/>
  <c r="G193"/>
  <c r="AB192"/>
  <c r="N191"/>
  <c r="W191" s="1"/>
  <c r="V191"/>
  <c r="O191"/>
  <c r="K191"/>
  <c r="J191"/>
  <c r="L190"/>
  <c r="M190" s="1"/>
  <c r="T190" s="1"/>
  <c r="P191" l="1"/>
  <c r="Q191" s="1"/>
  <c r="U191" s="1"/>
  <c r="L191"/>
  <c r="M191" s="1"/>
  <c r="T191" s="1"/>
  <c r="X191"/>
  <c r="Y191" s="1"/>
  <c r="Z191" s="1"/>
  <c r="I193"/>
  <c r="AA193"/>
  <c r="AC193"/>
  <c r="G194"/>
  <c r="AB193"/>
  <c r="N192"/>
  <c r="W192" s="1"/>
  <c r="V192"/>
  <c r="J192"/>
  <c r="O192"/>
  <c r="K192"/>
  <c r="P192" l="1"/>
  <c r="Q192" s="1"/>
  <c r="U192" s="1"/>
  <c r="X192"/>
  <c r="Y192" s="1"/>
  <c r="Z192" s="1"/>
  <c r="L192"/>
  <c r="M192" s="1"/>
  <c r="T192" s="1"/>
  <c r="G195"/>
  <c r="AB194"/>
  <c r="AA194"/>
  <c r="AC194"/>
  <c r="I194"/>
  <c r="V193"/>
  <c r="N193"/>
  <c r="W193" s="1"/>
  <c r="K193"/>
  <c r="J193"/>
  <c r="O193"/>
  <c r="P193" l="1"/>
  <c r="Q193" s="1"/>
  <c r="U193" s="1"/>
  <c r="V194"/>
  <c r="N194"/>
  <c r="W194" s="1"/>
  <c r="O194"/>
  <c r="J194"/>
  <c r="K194"/>
  <c r="AA195"/>
  <c r="AC195"/>
  <c r="G196"/>
  <c r="AB195"/>
  <c r="I195"/>
  <c r="X193"/>
  <c r="Y193" s="1"/>
  <c r="Z193" s="1"/>
  <c r="L193"/>
  <c r="M193" s="1"/>
  <c r="T193" s="1"/>
  <c r="P194" l="1"/>
  <c r="Q194" s="1"/>
  <c r="U194" s="1"/>
  <c r="V195"/>
  <c r="N195"/>
  <c r="W195" s="1"/>
  <c r="K195"/>
  <c r="J195"/>
  <c r="O195"/>
  <c r="X194"/>
  <c r="Y194" s="1"/>
  <c r="Z194" s="1"/>
  <c r="AB196"/>
  <c r="AA196"/>
  <c r="AC196"/>
  <c r="G197"/>
  <c r="I196"/>
  <c r="L194"/>
  <c r="M194" s="1"/>
  <c r="T194" s="1"/>
  <c r="P195" l="1"/>
  <c r="Q195" s="1"/>
  <c r="U195" s="1"/>
  <c r="X195"/>
  <c r="Y195" s="1"/>
  <c r="Z195" s="1"/>
  <c r="I197"/>
  <c r="AA197"/>
  <c r="AC197"/>
  <c r="AB197"/>
  <c r="G198"/>
  <c r="V196"/>
  <c r="N196"/>
  <c r="W196" s="1"/>
  <c r="J196"/>
  <c r="O196"/>
  <c r="K196"/>
  <c r="L195"/>
  <c r="M195" s="1"/>
  <c r="T195" s="1"/>
  <c r="N27" i="14"/>
  <c r="N86" i="4"/>
  <c r="P86" s="1"/>
  <c r="N168" i="14"/>
  <c r="O168" s="1"/>
  <c r="P168" s="1"/>
  <c r="N73"/>
  <c r="O73" s="1"/>
  <c r="P73" s="1"/>
  <c r="N167"/>
  <c r="O167" s="1"/>
  <c r="P167" s="1"/>
  <c r="N26"/>
  <c r="O26" s="1"/>
  <c r="P26" s="1"/>
  <c r="N160"/>
  <c r="N63"/>
  <c r="N33"/>
  <c r="O33" s="1"/>
  <c r="P33" s="1"/>
  <c r="N40"/>
  <c r="N77" i="4"/>
  <c r="N83"/>
  <c r="N75"/>
  <c r="N76"/>
  <c r="N72"/>
  <c r="N82"/>
  <c r="N81"/>
  <c r="N74"/>
  <c r="N70"/>
  <c r="N71"/>
  <c r="N65"/>
  <c r="N69"/>
  <c r="N64"/>
  <c r="N16" i="14"/>
  <c r="O16" s="1"/>
  <c r="P16" s="1"/>
  <c r="P196" i="19" l="1"/>
  <c r="Q196" s="1"/>
  <c r="U196" s="1"/>
  <c r="I198"/>
  <c r="AA198"/>
  <c r="AC198"/>
  <c r="G199"/>
  <c r="AB198"/>
  <c r="N197"/>
  <c r="W197" s="1"/>
  <c r="V197"/>
  <c r="K197"/>
  <c r="J197"/>
  <c r="O197"/>
  <c r="P197" s="1"/>
  <c r="Q197" s="1"/>
  <c r="X196"/>
  <c r="Y196" s="1"/>
  <c r="Z196" s="1"/>
  <c r="L196"/>
  <c r="M196" s="1"/>
  <c r="T196" s="1"/>
  <c r="O86" i="4"/>
  <c r="O64"/>
  <c r="P64"/>
  <c r="P69"/>
  <c r="O69"/>
  <c r="P65"/>
  <c r="O65"/>
  <c r="P71"/>
  <c r="O71"/>
  <c r="P70"/>
  <c r="O70"/>
  <c r="P74"/>
  <c r="O74"/>
  <c r="P81"/>
  <c r="O81"/>
  <c r="P82"/>
  <c r="O82"/>
  <c r="P72"/>
  <c r="O72"/>
  <c r="P76"/>
  <c r="O76"/>
  <c r="P75"/>
  <c r="O75"/>
  <c r="P83"/>
  <c r="O83"/>
  <c r="P77"/>
  <c r="O77"/>
  <c r="U197" i="19" l="1"/>
  <c r="X197"/>
  <c r="Y197" s="1"/>
  <c r="Z197" s="1"/>
  <c r="G200"/>
  <c r="AB199"/>
  <c r="I199"/>
  <c r="AC199"/>
  <c r="AA199"/>
  <c r="N198"/>
  <c r="W198" s="1"/>
  <c r="V198"/>
  <c r="O198"/>
  <c r="J198"/>
  <c r="K198"/>
  <c r="L197"/>
  <c r="M197" s="1"/>
  <c r="T197" s="1"/>
  <c r="L198" l="1"/>
  <c r="M198" s="1"/>
  <c r="T198" s="1"/>
  <c r="X198"/>
  <c r="Y198" s="1"/>
  <c r="Z198" s="1"/>
  <c r="P198"/>
  <c r="Q198" s="1"/>
  <c r="U198" s="1"/>
  <c r="AA200"/>
  <c r="AC200"/>
  <c r="G201"/>
  <c r="AB200"/>
  <c r="I200"/>
  <c r="V199"/>
  <c r="N199"/>
  <c r="W199" s="1"/>
  <c r="K199"/>
  <c r="J199"/>
  <c r="O199"/>
  <c r="V200" l="1"/>
  <c r="N200"/>
  <c r="W200" s="1"/>
  <c r="J200"/>
  <c r="O200"/>
  <c r="K200"/>
  <c r="G202"/>
  <c r="AB201"/>
  <c r="AC201"/>
  <c r="I201"/>
  <c r="AA201"/>
  <c r="L199"/>
  <c r="M199" s="1"/>
  <c r="T199" s="1"/>
  <c r="P199"/>
  <c r="Q199" s="1"/>
  <c r="U199" s="1"/>
  <c r="X199"/>
  <c r="Y199" s="1"/>
  <c r="Z199" s="1"/>
  <c r="X200" l="1"/>
  <c r="Y200" s="1"/>
  <c r="Z200" s="1"/>
  <c r="V201"/>
  <c r="N201"/>
  <c r="W201" s="1"/>
  <c r="K201"/>
  <c r="J201"/>
  <c r="O201"/>
  <c r="G203"/>
  <c r="AB202"/>
  <c r="AC202"/>
  <c r="I202"/>
  <c r="AA202"/>
  <c r="L200"/>
  <c r="M200" s="1"/>
  <c r="T200" s="1"/>
  <c r="P200"/>
  <c r="Q200" s="1"/>
  <c r="U200" s="1"/>
  <c r="P201" l="1"/>
  <c r="Q201" s="1"/>
  <c r="U201" s="1"/>
  <c r="X201"/>
  <c r="Y201" s="1"/>
  <c r="Z201" s="1"/>
  <c r="L201"/>
  <c r="M201" s="1"/>
  <c r="T201" s="1"/>
  <c r="AB203"/>
  <c r="AA203"/>
  <c r="AC203"/>
  <c r="I203"/>
  <c r="G204"/>
  <c r="N202"/>
  <c r="W202" s="1"/>
  <c r="V202"/>
  <c r="O202"/>
  <c r="J202"/>
  <c r="K202"/>
  <c r="X202" l="1"/>
  <c r="Y202" s="1"/>
  <c r="Z202" s="1"/>
  <c r="P202"/>
  <c r="Q202" s="1"/>
  <c r="U202" s="1"/>
  <c r="I204"/>
  <c r="AA204"/>
  <c r="AC204"/>
  <c r="G205"/>
  <c r="AB204"/>
  <c r="V203"/>
  <c r="N203"/>
  <c r="W203" s="1"/>
  <c r="K203"/>
  <c r="J203"/>
  <c r="O203"/>
  <c r="L202"/>
  <c r="M202" s="1"/>
  <c r="T202" s="1"/>
  <c r="L203" l="1"/>
  <c r="M203" s="1"/>
  <c r="T203" s="1"/>
  <c r="N204"/>
  <c r="W204" s="1"/>
  <c r="V204"/>
  <c r="J204"/>
  <c r="O204"/>
  <c r="K204"/>
  <c r="AC205"/>
  <c r="G206"/>
  <c r="AB205"/>
  <c r="I205"/>
  <c r="AA205"/>
  <c r="P203"/>
  <c r="Q203" s="1"/>
  <c r="U203" s="1"/>
  <c r="X203"/>
  <c r="Y203" s="1"/>
  <c r="Z203" s="1"/>
  <c r="X204" l="1"/>
  <c r="Y204" s="1"/>
  <c r="Z204" s="1"/>
  <c r="V205"/>
  <c r="N205"/>
  <c r="W205" s="1"/>
  <c r="K205"/>
  <c r="J205"/>
  <c r="O205"/>
  <c r="G207"/>
  <c r="AC206"/>
  <c r="AB206"/>
  <c r="AA206"/>
  <c r="I206"/>
  <c r="L204"/>
  <c r="M204" s="1"/>
  <c r="T204" s="1"/>
  <c r="P204"/>
  <c r="Q204" s="1"/>
  <c r="U204" s="1"/>
  <c r="P205" l="1"/>
  <c r="Q205" s="1"/>
  <c r="U205" s="1"/>
  <c r="L205"/>
  <c r="M205" s="1"/>
  <c r="T205" s="1"/>
  <c r="X205"/>
  <c r="Y205" s="1"/>
  <c r="Z205" s="1"/>
  <c r="V206"/>
  <c r="N206"/>
  <c r="W206" s="1"/>
  <c r="O206"/>
  <c r="J206"/>
  <c r="K206"/>
  <c r="AB207"/>
  <c r="G208"/>
  <c r="G209" s="1"/>
  <c r="AA207"/>
  <c r="I207"/>
  <c r="AC207"/>
  <c r="L206" l="1"/>
  <c r="M206" s="1"/>
  <c r="T206" s="1"/>
  <c r="AB209"/>
  <c r="AC209"/>
  <c r="AA209"/>
  <c r="I209"/>
  <c r="I208"/>
  <c r="AA208"/>
  <c r="AB208"/>
  <c r="AC208"/>
  <c r="P206"/>
  <c r="Q206" s="1"/>
  <c r="U206" s="1"/>
  <c r="K207"/>
  <c r="V207"/>
  <c r="N207"/>
  <c r="J207"/>
  <c r="O207"/>
  <c r="X206"/>
  <c r="Y206" s="1"/>
  <c r="Z206" s="1"/>
  <c r="AC210" l="1"/>
  <c r="AA210"/>
  <c r="T43" i="14" s="1"/>
  <c r="K43" s="1"/>
  <c r="F1181" i="11" s="1"/>
  <c r="G1184" s="1"/>
  <c r="AB210" i="19"/>
  <c r="AD210"/>
  <c r="O209"/>
  <c r="V209"/>
  <c r="N209"/>
  <c r="K209"/>
  <c r="J209"/>
  <c r="O208"/>
  <c r="K208"/>
  <c r="N208"/>
  <c r="V208"/>
  <c r="J208"/>
  <c r="L207"/>
  <c r="M207" s="1"/>
  <c r="T207" s="1"/>
  <c r="W207"/>
  <c r="X207" s="1"/>
  <c r="Y207" s="1"/>
  <c r="Z207" s="1"/>
  <c r="P207"/>
  <c r="Q207" s="1"/>
  <c r="U207" s="1"/>
  <c r="N43" i="14" l="1"/>
  <c r="L208" i="19"/>
  <c r="M208" s="1"/>
  <c r="T208" s="1"/>
  <c r="B1"/>
  <c r="T2" i="14" s="1"/>
  <c r="T32" s="1"/>
  <c r="AB219" i="19"/>
  <c r="AB220" s="1"/>
  <c r="AB221" s="1"/>
  <c r="L209"/>
  <c r="M209" s="1"/>
  <c r="T219"/>
  <c r="T220" s="1"/>
  <c r="U219"/>
  <c r="U220" s="1"/>
  <c r="AA219"/>
  <c r="AA220" s="1"/>
  <c r="AA221" s="1"/>
  <c r="Z219"/>
  <c r="Z220" s="1"/>
  <c r="W209"/>
  <c r="X209" s="1"/>
  <c r="Y209" s="1"/>
  <c r="P209"/>
  <c r="Q209" s="1"/>
  <c r="K1212" i="11"/>
  <c r="M1212" s="1"/>
  <c r="M1215" s="1"/>
  <c r="M1216" s="1"/>
  <c r="K1202"/>
  <c r="M1202" s="1"/>
  <c r="M1205" s="1"/>
  <c r="M1206" s="1"/>
  <c r="K1192"/>
  <c r="M1192" s="1"/>
  <c r="M1195" s="1"/>
  <c r="M1196" s="1"/>
  <c r="K1242"/>
  <c r="M1242" s="1"/>
  <c r="M1245" s="1"/>
  <c r="M1246" s="1"/>
  <c r="K1232"/>
  <c r="M1232" s="1"/>
  <c r="M1235" s="1"/>
  <c r="M1236" s="1"/>
  <c r="K1222"/>
  <c r="M1222" s="1"/>
  <c r="M1225" s="1"/>
  <c r="M1226" s="1"/>
  <c r="P208" i="19"/>
  <c r="Q208" s="1"/>
  <c r="U208" s="1"/>
  <c r="W208"/>
  <c r="X208" s="1"/>
  <c r="Y208" s="1"/>
  <c r="Z208" s="1"/>
  <c r="D4" i="14" l="1"/>
  <c r="K22" s="1"/>
  <c r="T34"/>
  <c r="L12" i="12"/>
  <c r="E4" i="13" s="1"/>
  <c r="AE210" i="19"/>
  <c r="AF210" s="1"/>
  <c r="T209"/>
  <c r="T210" s="1"/>
  <c r="T221" s="1"/>
  <c r="Z209"/>
  <c r="Z210" s="1"/>
  <c r="T22" i="14" s="1"/>
  <c r="U209" i="19"/>
  <c r="U210" s="1"/>
  <c r="E28" i="12"/>
  <c r="T50" i="14"/>
  <c r="H723" i="11"/>
  <c r="K723" s="1"/>
  <c r="H597"/>
  <c r="J597" s="1"/>
  <c r="J600" s="1"/>
  <c r="L65" i="14" s="1"/>
  <c r="M65" s="1"/>
  <c r="H964" i="11"/>
  <c r="K964" s="1"/>
  <c r="H580"/>
  <c r="J580" s="1"/>
  <c r="J583" s="1"/>
  <c r="L64" i="14" s="1"/>
  <c r="H546" i="11"/>
  <c r="J546" s="1"/>
  <c r="J549" s="1"/>
  <c r="L62" i="14" s="1"/>
  <c r="M62" s="1"/>
  <c r="H783" i="11"/>
  <c r="K783" s="1"/>
  <c r="H563"/>
  <c r="J563" s="1"/>
  <c r="J566" s="1"/>
  <c r="L63" i="14" s="1"/>
  <c r="H529" i="11"/>
  <c r="J529" s="1"/>
  <c r="J532" s="1"/>
  <c r="L61" i="14" s="1"/>
  <c r="M61" s="1"/>
  <c r="H1033" i="11"/>
  <c r="K1033" s="1"/>
  <c r="H352"/>
  <c r="J352" s="1"/>
  <c r="H784"/>
  <c r="K784" s="1"/>
  <c r="H817"/>
  <c r="K817" s="1"/>
  <c r="K825" s="1"/>
  <c r="F826" s="1"/>
  <c r="K826" s="1"/>
  <c r="L160" i="14" s="1"/>
  <c r="H724" i="11"/>
  <c r="K724" s="1"/>
  <c r="H678"/>
  <c r="K678" s="1"/>
  <c r="K687" s="1"/>
  <c r="F688" s="1"/>
  <c r="K688" s="1"/>
  <c r="K689" s="1"/>
  <c r="H650"/>
  <c r="K650" s="1"/>
  <c r="K657" s="1"/>
  <c r="H638"/>
  <c r="K638" s="1"/>
  <c r="K645" s="1"/>
  <c r="H626"/>
  <c r="K626" s="1"/>
  <c r="K633" s="1"/>
  <c r="H1063"/>
  <c r="K1063" s="1"/>
  <c r="K1071" s="1"/>
  <c r="K1072" s="1"/>
  <c r="L38" i="4" s="1"/>
  <c r="H1101" i="11"/>
  <c r="K1101" s="1"/>
  <c r="K1111" s="1"/>
  <c r="K1112" s="1"/>
  <c r="L45" i="4" s="1"/>
  <c r="H1047" i="11"/>
  <c r="K1047" s="1"/>
  <c r="K1057" s="1"/>
  <c r="K1058" s="1"/>
  <c r="K1059" s="1"/>
  <c r="L37" i="4" s="1"/>
  <c r="M37" s="1"/>
  <c r="H1075" i="11"/>
  <c r="K1075" s="1"/>
  <c r="K1086" s="1"/>
  <c r="K1087" s="1"/>
  <c r="L39" i="4" s="1"/>
  <c r="M39" s="1"/>
  <c r="H1091" i="11"/>
  <c r="K1091" s="1"/>
  <c r="K1097" s="1"/>
  <c r="K1098" s="1"/>
  <c r="L44" i="4" s="1"/>
  <c r="H951" i="11"/>
  <c r="K951" s="1"/>
  <c r="H969"/>
  <c r="K969" s="1"/>
  <c r="K981" s="1"/>
  <c r="K982" s="1"/>
  <c r="L22" i="4" s="1"/>
  <c r="M22" s="1"/>
  <c r="H884" i="11"/>
  <c r="K884" s="1"/>
  <c r="K900" s="1"/>
  <c r="K901" s="1"/>
  <c r="K902" s="1"/>
  <c r="L169" i="14" s="1"/>
  <c r="M169" s="1"/>
  <c r="H1016" i="11"/>
  <c r="K1016" s="1"/>
  <c r="K1028" s="1"/>
  <c r="K1029" s="1"/>
  <c r="L27" i="4" s="1"/>
  <c r="M27" s="1"/>
  <c r="H1000" i="11"/>
  <c r="K1000" s="1"/>
  <c r="K1012" s="1"/>
  <c r="K1013" s="1"/>
  <c r="L26" i="4" s="1"/>
  <c r="H911" i="11"/>
  <c r="K911" s="1"/>
  <c r="K923" s="1"/>
  <c r="K924" s="1"/>
  <c r="T21" i="14" l="1"/>
  <c r="K21" s="1"/>
  <c r="L21" s="1"/>
  <c r="M21" s="1"/>
  <c r="G265" i="11"/>
  <c r="J265" s="1"/>
  <c r="J261" s="1"/>
  <c r="H1153"/>
  <c r="K1153" s="1"/>
  <c r="M64" i="14"/>
  <c r="L16" i="4"/>
  <c r="M16" s="1"/>
  <c r="K730" i="11"/>
  <c r="U221" i="19"/>
  <c r="Z221"/>
  <c r="L31" i="4"/>
  <c r="M31" s="1"/>
  <c r="K1040" i="11"/>
  <c r="K1041" s="1"/>
  <c r="K1042" s="1"/>
  <c r="L35" i="4" s="1"/>
  <c r="M26"/>
  <c r="M45"/>
  <c r="K965" i="11"/>
  <c r="K966" s="1"/>
  <c r="L21" i="4" s="1"/>
  <c r="K795" i="11"/>
  <c r="K796" s="1"/>
  <c r="L147" i="14" s="1"/>
  <c r="M147" s="1"/>
  <c r="M63"/>
  <c r="O63"/>
  <c r="P63" s="1"/>
  <c r="T51"/>
  <c r="T52"/>
  <c r="T53"/>
  <c r="M160"/>
  <c r="O160"/>
  <c r="P160" s="1"/>
  <c r="T38"/>
  <c r="K38" s="1"/>
  <c r="K32"/>
  <c r="K34" s="1"/>
  <c r="N34" s="1"/>
  <c r="M44" i="4"/>
  <c r="M38"/>
  <c r="D245" i="11"/>
  <c r="J245" s="1"/>
  <c r="D246" s="1"/>
  <c r="J246" s="1"/>
  <c r="J247" s="1"/>
  <c r="J254" s="1"/>
  <c r="J255" s="1"/>
  <c r="J257" s="1"/>
  <c r="G324"/>
  <c r="J324" s="1"/>
  <c r="J328" s="1"/>
  <c r="D220"/>
  <c r="J220" s="1"/>
  <c r="D221" s="1"/>
  <c r="J221" s="1"/>
  <c r="J222" s="1"/>
  <c r="J224" s="1"/>
  <c r="J225" s="1"/>
  <c r="G353"/>
  <c r="J353" s="1"/>
  <c r="J362" s="1"/>
  <c r="G295"/>
  <c r="J295" s="1"/>
  <c r="L34" i="14" l="1"/>
  <c r="M34" s="1"/>
  <c r="J127" i="11"/>
  <c r="J128" s="1"/>
  <c r="J130" s="1"/>
  <c r="J329"/>
  <c r="L40" i="14" s="1"/>
  <c r="L22"/>
  <c r="M22" s="1"/>
  <c r="J158" i="11"/>
  <c r="J159" s="1"/>
  <c r="L27" i="14" s="1"/>
  <c r="O27" s="1"/>
  <c r="P27" s="1"/>
  <c r="J258" i="11"/>
  <c r="W52" i="14"/>
  <c r="K52" s="1"/>
  <c r="M35" i="4"/>
  <c r="J363" i="11"/>
  <c r="L43" i="14" s="1"/>
  <c r="F363" i="11"/>
  <c r="J275"/>
  <c r="J276" s="1"/>
  <c r="J277" s="1"/>
  <c r="L32" i="14"/>
  <c r="M32" s="1"/>
  <c r="M21" i="4"/>
  <c r="O34" i="14" l="1"/>
  <c r="P34" s="1"/>
  <c r="L52"/>
  <c r="M52" s="1"/>
  <c r="M40"/>
  <c r="O40"/>
  <c r="P40" s="1"/>
  <c r="M27"/>
  <c r="M89" i="4"/>
  <c r="G21" i="12" s="1"/>
  <c r="J281" i="11"/>
  <c r="J284" s="1"/>
  <c r="J279"/>
  <c r="J285" s="1"/>
  <c r="M43" i="14"/>
  <c r="O43"/>
  <c r="P43" s="1"/>
  <c r="J299" i="11" l="1"/>
  <c r="J300" s="1"/>
  <c r="L38" i="14" s="1"/>
  <c r="M38" l="1"/>
  <c r="M171" s="1"/>
  <c r="G20" i="12" l="1"/>
  <c r="AW10" i="2"/>
  <c r="AW11" s="1"/>
  <c r="S9" i="3"/>
  <c r="S10" s="1"/>
  <c r="BD10" i="2"/>
  <c r="BD11" s="1"/>
  <c r="BD13" s="1"/>
  <c r="BE13" s="1"/>
  <c r="BE14" s="1"/>
  <c r="AW13" l="1"/>
  <c r="AW12"/>
  <c r="AZ12" s="1"/>
  <c r="AW17" s="1"/>
  <c r="N17" i="12"/>
  <c r="S12" i="3"/>
  <c r="V12" s="1"/>
  <c r="S11"/>
  <c r="U18" l="1"/>
  <c r="V11"/>
  <c r="AZ13" i="2"/>
  <c r="AY17" s="1"/>
  <c r="AY19"/>
  <c r="U16" i="3" l="1"/>
  <c r="S16"/>
  <c r="U14"/>
  <c r="N90" i="4" s="1"/>
  <c r="AY15" i="2"/>
  <c r="N61" i="14" l="1"/>
  <c r="O61" s="1"/>
  <c r="P61" s="1"/>
  <c r="N65"/>
  <c r="O65" s="1"/>
  <c r="P65" s="1"/>
  <c r="N62"/>
  <c r="O62" s="1"/>
  <c r="P62" s="1"/>
  <c r="N64"/>
  <c r="O64" s="1"/>
  <c r="P64" s="1"/>
  <c r="N13"/>
  <c r="O13" s="1"/>
  <c r="P13" s="1"/>
  <c r="N14"/>
  <c r="O14" s="1"/>
  <c r="P14" s="1"/>
  <c r="N21"/>
  <c r="O21" s="1"/>
  <c r="P21" s="1"/>
  <c r="N12"/>
  <c r="O12" s="1"/>
  <c r="P12" s="1"/>
  <c r="N66" i="4"/>
  <c r="O66" s="1"/>
  <c r="N67"/>
  <c r="N38"/>
  <c r="H21" i="12"/>
  <c r="N34" i="4"/>
  <c r="N16"/>
  <c r="N29"/>
  <c r="N43"/>
  <c r="N28"/>
  <c r="N45"/>
  <c r="N27"/>
  <c r="N42"/>
  <c r="N19"/>
  <c r="N37"/>
  <c r="N21"/>
  <c r="N33"/>
  <c r="N18"/>
  <c r="N32"/>
  <c r="N31"/>
  <c r="N44"/>
  <c r="N23"/>
  <c r="N46"/>
  <c r="N24"/>
  <c r="N39"/>
  <c r="N26"/>
  <c r="N40"/>
  <c r="N22"/>
  <c r="N35"/>
  <c r="N17"/>
  <c r="N30"/>
  <c r="N41"/>
  <c r="N22" i="14"/>
  <c r="O22" s="1"/>
  <c r="P22" s="1"/>
  <c r="N38"/>
  <c r="O38" s="1"/>
  <c r="P38" s="1"/>
  <c r="N32"/>
  <c r="O32" s="1"/>
  <c r="P32" s="1"/>
  <c r="N52"/>
  <c r="O52" s="1"/>
  <c r="P52" s="1"/>
  <c r="N128"/>
  <c r="O128" s="1"/>
  <c r="P128" s="1"/>
  <c r="N109"/>
  <c r="O109" s="1"/>
  <c r="P109" s="1"/>
  <c r="N147"/>
  <c r="O147" s="1"/>
  <c r="P147" s="1"/>
  <c r="H20" i="12"/>
  <c r="N122" i="14"/>
  <c r="O122" s="1"/>
  <c r="P122" s="1"/>
  <c r="N101"/>
  <c r="O101" s="1"/>
  <c r="P101" s="1"/>
  <c r="N165"/>
  <c r="O165" s="1"/>
  <c r="P165" s="1"/>
  <c r="N135"/>
  <c r="O135" s="1"/>
  <c r="P135" s="1"/>
  <c r="N130"/>
  <c r="O130" s="1"/>
  <c r="P130" s="1"/>
  <c r="N112"/>
  <c r="O112" s="1"/>
  <c r="P112" s="1"/>
  <c r="N87"/>
  <c r="O87" s="1"/>
  <c r="P87" s="1"/>
  <c r="N133"/>
  <c r="O133" s="1"/>
  <c r="P133" s="1"/>
  <c r="N120"/>
  <c r="O120" s="1"/>
  <c r="P120" s="1"/>
  <c r="N99"/>
  <c r="O99" s="1"/>
  <c r="P99" s="1"/>
  <c r="N163"/>
  <c r="O163" s="1"/>
  <c r="P163" s="1"/>
  <c r="N132"/>
  <c r="O132" s="1"/>
  <c r="P132" s="1"/>
  <c r="N103"/>
  <c r="O103" s="1"/>
  <c r="P103" s="1"/>
  <c r="N118"/>
  <c r="O118" s="1"/>
  <c r="P118" s="1"/>
  <c r="N139"/>
  <c r="O139" s="1"/>
  <c r="P139" s="1"/>
  <c r="N126"/>
  <c r="O126" s="1"/>
  <c r="P126" s="1"/>
  <c r="N145"/>
  <c r="O145" s="1"/>
  <c r="P145" s="1"/>
  <c r="N115"/>
  <c r="O115" s="1"/>
  <c r="P115" s="1"/>
  <c r="N97"/>
  <c r="O97" s="1"/>
  <c r="P97" s="1"/>
  <c r="N136"/>
  <c r="O136" s="1"/>
  <c r="P136" s="1"/>
  <c r="N114"/>
  <c r="O114" s="1"/>
  <c r="P114" s="1"/>
  <c r="N89"/>
  <c r="O89" s="1"/>
  <c r="P89" s="1"/>
  <c r="N138"/>
  <c r="O138" s="1"/>
  <c r="P138" s="1"/>
  <c r="N127"/>
  <c r="O127" s="1"/>
  <c r="P127" s="1"/>
  <c r="N107"/>
  <c r="O107" s="1"/>
  <c r="P107" s="1"/>
  <c r="N146"/>
  <c r="O146" s="1"/>
  <c r="P146" s="1"/>
  <c r="N92"/>
  <c r="O92" s="1"/>
  <c r="P92" s="1"/>
  <c r="N134"/>
  <c r="O134" s="1"/>
  <c r="P134" s="1"/>
  <c r="N116"/>
  <c r="O116" s="1"/>
  <c r="P116" s="1"/>
  <c r="N95"/>
  <c r="O95" s="1"/>
  <c r="P95" s="1"/>
  <c r="N117"/>
  <c r="O117" s="1"/>
  <c r="P117" s="1"/>
  <c r="N125"/>
  <c r="O125" s="1"/>
  <c r="P125" s="1"/>
  <c r="N105"/>
  <c r="O105" s="1"/>
  <c r="P105" s="1"/>
  <c r="N148"/>
  <c r="O148" s="1"/>
  <c r="P148" s="1"/>
  <c r="N93"/>
  <c r="O93" s="1"/>
  <c r="P93" s="1"/>
  <c r="N94"/>
  <c r="O94" s="1"/>
  <c r="P94" s="1"/>
  <c r="N140"/>
  <c r="O140" s="1"/>
  <c r="P140" s="1"/>
  <c r="N119"/>
  <c r="O119" s="1"/>
  <c r="P119" s="1"/>
  <c r="N98"/>
  <c r="O98" s="1"/>
  <c r="P98" s="1"/>
  <c r="N102"/>
  <c r="O102" s="1"/>
  <c r="P102" s="1"/>
  <c r="N137"/>
  <c r="O137" s="1"/>
  <c r="P137" s="1"/>
  <c r="N113"/>
  <c r="O113" s="1"/>
  <c r="P113" s="1"/>
  <c r="N88"/>
  <c r="O88" s="1"/>
  <c r="P88" s="1"/>
  <c r="N108"/>
  <c r="O108" s="1"/>
  <c r="P108" s="1"/>
  <c r="N169"/>
  <c r="O169" s="1"/>
  <c r="P169" s="1"/>
  <c r="N121"/>
  <c r="O121" s="1"/>
  <c r="P121" s="1"/>
  <c r="N100"/>
  <c r="O100" s="1"/>
  <c r="P100" s="1"/>
  <c r="N104"/>
  <c r="O104" s="1"/>
  <c r="P104" s="1"/>
  <c r="N129"/>
  <c r="O129" s="1"/>
  <c r="P129" s="1"/>
  <c r="N111"/>
  <c r="O111" s="1"/>
  <c r="P111" s="1"/>
  <c r="N86"/>
  <c r="O86" s="1"/>
  <c r="P86" s="1"/>
  <c r="N110"/>
  <c r="O110" s="1"/>
  <c r="P110" s="1"/>
  <c r="N124"/>
  <c r="O124" s="1"/>
  <c r="P124" s="1"/>
  <c r="N123"/>
  <c r="O123" s="1"/>
  <c r="P123" s="1"/>
  <c r="N164"/>
  <c r="O164" s="1"/>
  <c r="P164" s="1"/>
  <c r="N131"/>
  <c r="O131" s="1"/>
  <c r="P131" s="1"/>
  <c r="N96"/>
  <c r="O96" s="1"/>
  <c r="P96" s="1"/>
  <c r="N54"/>
  <c r="O54" s="1"/>
  <c r="P54" s="1"/>
  <c r="N106"/>
  <c r="O106" s="1"/>
  <c r="P106" s="1"/>
  <c r="N141"/>
  <c r="O141" s="1"/>
  <c r="P141" s="1"/>
  <c r="N166"/>
  <c r="O166" s="1"/>
  <c r="P166" s="1"/>
  <c r="O67" i="4" l="1"/>
  <c r="P67"/>
  <c r="P66"/>
  <c r="P41"/>
  <c r="O41"/>
  <c r="O24"/>
  <c r="P24"/>
  <c r="P29"/>
  <c r="O29"/>
  <c r="P35"/>
  <c r="O35"/>
  <c r="P39"/>
  <c r="O39"/>
  <c r="P44"/>
  <c r="O44"/>
  <c r="O33"/>
  <c r="P33"/>
  <c r="P42"/>
  <c r="O42"/>
  <c r="O43"/>
  <c r="P43"/>
  <c r="P173" i="14"/>
  <c r="I20" i="12" s="1"/>
  <c r="P22" i="4"/>
  <c r="O22"/>
  <c r="O31"/>
  <c r="P31"/>
  <c r="O21"/>
  <c r="P21"/>
  <c r="O27"/>
  <c r="P27"/>
  <c r="P38"/>
  <c r="O38"/>
  <c r="P17"/>
  <c r="O17"/>
  <c r="O26"/>
  <c r="P26"/>
  <c r="O23"/>
  <c r="P23"/>
  <c r="O18"/>
  <c r="P18"/>
  <c r="P19"/>
  <c r="O19"/>
  <c r="P28"/>
  <c r="O28"/>
  <c r="P34"/>
  <c r="O34"/>
  <c r="P30"/>
  <c r="O30"/>
  <c r="P40"/>
  <c r="O40"/>
  <c r="O46"/>
  <c r="P46"/>
  <c r="O32"/>
  <c r="P32"/>
  <c r="P37"/>
  <c r="O37"/>
  <c r="P45"/>
  <c r="O45"/>
  <c r="O16"/>
  <c r="P16"/>
  <c r="R83" l="1"/>
  <c r="S83" s="1"/>
  <c r="I28" i="12"/>
  <c r="P91" i="4"/>
  <c r="I21" i="12" s="1"/>
  <c r="I24" s="1"/>
  <c r="I25" s="1"/>
  <c r="C26" l="1"/>
  <c r="E6" i="23"/>
  <c r="B22"/>
  <c r="A25" i="20"/>
  <c r="N20" i="12"/>
  <c r="M21" l="1"/>
  <c r="O21"/>
  <c r="N21"/>
</calcChain>
</file>

<file path=xl/comments1.xml><?xml version="1.0" encoding="utf-8"?>
<comments xmlns="http://schemas.openxmlformats.org/spreadsheetml/2006/main">
  <authors>
    <author>edu</author>
  </authors>
  <commentList>
    <comment ref="L53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K54" authorId="0">
      <text>
        <r>
          <rPr>
            <b/>
            <sz val="8"/>
            <color indexed="81"/>
            <rFont val="Tahoma"/>
            <family val="2"/>
          </rPr>
          <t>ใส่จำนวนแห่งที่จะติดตั้ง Rumble Strip ด้านขวามือ 
(Rumble Strip 1 แห่ง = 3 ชุด)</t>
        </r>
      </text>
    </comment>
    <comment ref="L55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K61" authorId="0">
      <text>
        <r>
          <rPr>
            <b/>
            <sz val="16"/>
            <color indexed="81"/>
            <rFont val="TH SarabunPSK"/>
            <family val="2"/>
          </rPr>
          <t>ใส่ความยาวท่อด้านขวามือ</t>
        </r>
      </text>
    </comment>
    <comment ref="L86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87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88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89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130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137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138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  <comment ref="L140" authorId="0">
      <text>
        <r>
          <rPr>
            <b/>
            <sz val="8"/>
            <color indexed="81"/>
            <rFont val="Tahoma"/>
            <family val="2"/>
          </rPr>
          <t>ราคาเดิม</t>
        </r>
      </text>
    </comment>
  </commentList>
</comments>
</file>

<file path=xl/comments2.xml><?xml version="1.0" encoding="utf-8"?>
<comments xmlns="http://schemas.openxmlformats.org/spreadsheetml/2006/main">
  <authors>
    <author>edu</author>
  </authors>
  <commentList>
    <comment ref="D63" authorId="0">
      <text>
        <r>
          <rPr>
            <b/>
            <sz val="14"/>
            <color indexed="81"/>
            <rFont val="TH SarabunPSK"/>
            <family val="2"/>
          </rPr>
          <t>เลือกจำนวนช่องและขนาดท่อลอดเหลี่ยมด้านขวามือ</t>
        </r>
      </text>
    </comment>
    <comment ref="K74" authorId="0">
      <text>
        <r>
          <rPr>
            <b/>
            <sz val="16"/>
            <color indexed="81"/>
            <rFont val="TH SarabunPSK"/>
            <family val="2"/>
          </rPr>
          <t>ใส่ปริมาณเหล็กเสริมด้านขวามือ</t>
        </r>
      </text>
    </comment>
  </commentList>
</comments>
</file>

<file path=xl/comments3.xml><?xml version="1.0" encoding="utf-8"?>
<comments xmlns="http://schemas.openxmlformats.org/spreadsheetml/2006/main">
  <authors>
    <author>Wat-drr</author>
  </authors>
  <commentList>
    <comment ref="H704" authorId="0">
      <text>
        <r>
          <rPr>
            <b/>
            <sz val="9"/>
            <color indexed="81"/>
            <rFont val="Tahoma"/>
            <family val="2"/>
          </rPr>
          <t>ราคาวัสดุจากร้านกิมแซ 520 บาท / 26.58 กก. ต่อ เมตร</t>
        </r>
      </text>
    </comment>
  </commentList>
</comments>
</file>

<file path=xl/sharedStrings.xml><?xml version="1.0" encoding="utf-8"?>
<sst xmlns="http://schemas.openxmlformats.org/spreadsheetml/2006/main" count="9171" uniqueCount="2118">
  <si>
    <t>ลำดับ</t>
  </si>
  <si>
    <t>รายการ</t>
  </si>
  <si>
    <t>หน่วย</t>
  </si>
  <si>
    <t>หมายเหตุ</t>
  </si>
  <si>
    <t>ต้น</t>
  </si>
  <si>
    <t>เหล็กเสริม</t>
  </si>
  <si>
    <t>ลบ.ม.</t>
  </si>
  <si>
    <t>ตร.ม.</t>
  </si>
  <si>
    <t>ค่าแรงงานเหล็ก</t>
  </si>
  <si>
    <t>คาน</t>
  </si>
  <si>
    <t>-</t>
  </si>
  <si>
    <t>แผ่น</t>
  </si>
  <si>
    <t>ท่อน</t>
  </si>
  <si>
    <t>แบบประเมินราคางานก่อสร้างสะพานและท่อลอดเหลี่ยม</t>
  </si>
  <si>
    <t>ชื่อโครงการ</t>
  </si>
  <si>
    <t>ระยะทาง</t>
  </si>
  <si>
    <t>กว้าง</t>
  </si>
  <si>
    <t>เมตร</t>
  </si>
  <si>
    <t>กว้างข้างละ</t>
  </si>
  <si>
    <t xml:space="preserve">ประมาณราคาวันที่   </t>
  </si>
  <si>
    <t xml:space="preserve">ลำดับที่ </t>
  </si>
  <si>
    <t>ปริมาณ</t>
  </si>
  <si>
    <t>ค่างานต้นทุน (บาท)</t>
  </si>
  <si>
    <t>Factor F</t>
  </si>
  <si>
    <t>ราคากลาง (บาท)</t>
  </si>
  <si>
    <t>ราคาต่อหน่วย</t>
  </si>
  <si>
    <t>รวม</t>
  </si>
  <si>
    <t>ประเภทงานสะพานและท่อลอดเหลี่ยม</t>
  </si>
  <si>
    <t>งานสะพาน  คสล.</t>
  </si>
  <si>
    <t>1.1.1</t>
  </si>
  <si>
    <t>1.1.2</t>
  </si>
  <si>
    <t xml:space="preserve">งานตอม่อรับพื้นสะพาน </t>
  </si>
  <si>
    <t>ตับ</t>
  </si>
  <si>
    <t>งานพื้นสะพานหล่อสำเร็จ</t>
  </si>
  <si>
    <t>1.1.4</t>
  </si>
  <si>
    <t>งานทางเท้า   ราวสะพาน  และงาน เบ็ดเตล็ด  อื่น ๆ</t>
  </si>
  <si>
    <t>ป้าย</t>
  </si>
  <si>
    <t>รวมค่างานต้นทุนงานสะพานและท่อลอดเหลี่ยม</t>
  </si>
  <si>
    <t>FACTOR  F</t>
  </si>
  <si>
    <t>เป็นเงินค่างานประเมิน</t>
  </si>
  <si>
    <t>ตรวจ</t>
  </si>
  <si>
    <t>ตำแหน่ง</t>
  </si>
  <si>
    <t xml:space="preserve">ผิวทาง                                          </t>
  </si>
  <si>
    <t>ไหล่ทาง</t>
  </si>
  <si>
    <t xml:space="preserve">งานเสาเข็ม </t>
  </si>
  <si>
    <t>งานไม้แบบ</t>
  </si>
  <si>
    <t>กก.</t>
  </si>
  <si>
    <t>2.2.1</t>
  </si>
  <si>
    <t>ที่</t>
  </si>
  <si>
    <t xml:space="preserve">     ลักษณะงาน</t>
  </si>
  <si>
    <t xml:space="preserve">  หน่วย</t>
  </si>
  <si>
    <t>ค่า
ดำเนินการ บาท/หน่วย</t>
  </si>
  <si>
    <t>ค่าเสื่อมราคา (บาท)</t>
  </si>
  <si>
    <t xml:space="preserve"> รวมค่างาน (บาท)</t>
  </si>
  <si>
    <t xml:space="preserve">  ปกติ</t>
  </si>
  <si>
    <t xml:space="preserve">  ฝนชุก</t>
  </si>
  <si>
    <t>งานถางป่าขุดตอ</t>
  </si>
  <si>
    <t xml:space="preserve">  ขนาดเบา</t>
  </si>
  <si>
    <t xml:space="preserve">  ขนาดกลาง</t>
  </si>
  <si>
    <t xml:space="preserve">  ขนาดหนัก</t>
  </si>
  <si>
    <t>งานดินคันทาง</t>
  </si>
  <si>
    <t xml:space="preserve">  ขุด - ขน</t>
  </si>
  <si>
    <t>ลบ.ม.  หลวม</t>
  </si>
  <si>
    <t xml:space="preserve">  บดทับ</t>
  </si>
  <si>
    <t>ลบ.ม.  แน่น</t>
  </si>
  <si>
    <t>งานตัด - ขึ้นรูปคันทาง</t>
  </si>
  <si>
    <t xml:space="preserve">  ดิน - ขุดตัด</t>
  </si>
  <si>
    <t>ลบ.ม.  ปกติ</t>
  </si>
  <si>
    <t xml:space="preserve">         - ตัก</t>
  </si>
  <si>
    <t xml:space="preserve">  หินผุ - ขุดตัด</t>
  </si>
  <si>
    <t xml:space="preserve">         - ดันและตัก</t>
  </si>
  <si>
    <t xml:space="preserve">  หินแข็ง - เจาะระเบิด</t>
  </si>
  <si>
    <t>งานวัสดุคัดเลือก ลูกรังรองพื้นทาง</t>
  </si>
  <si>
    <t xml:space="preserve">  ผสม ( ผสมกับวัสดุอื่นๆ )</t>
  </si>
  <si>
    <t>งานไหล่ทางลูกรัง ผสม - บดทับ</t>
  </si>
  <si>
    <t>งานพื้นทาง ( หินคลุก )</t>
  </si>
  <si>
    <t xml:space="preserve">  ผสม ( Blend )</t>
  </si>
  <si>
    <t>งานตัดแต่งขั้นบันได</t>
  </si>
  <si>
    <t>งานขุดรื้อคันทางเดิมแล้วบดทับ</t>
  </si>
  <si>
    <t xml:space="preserve">  ลูกรัง 10 ซม.</t>
  </si>
  <si>
    <t xml:space="preserve">  หินคลุก 10 ซม.</t>
  </si>
  <si>
    <t xml:space="preserve">  ผิว AC 5  ซม.</t>
  </si>
  <si>
    <t>งานราดยางไพรม์โค้ต</t>
  </si>
  <si>
    <t>งานราดยางแทคโค้ต</t>
  </si>
  <si>
    <t>งานผิวทางแบบบาง</t>
  </si>
  <si>
    <t xml:space="preserve">  ชั้นเดียว ( 1/2 ")</t>
  </si>
  <si>
    <t xml:space="preserve">  ชั้นเดียว ( 3/4 ")</t>
  </si>
  <si>
    <t xml:space="preserve">  สองชั้น ( 3/4 " + 3/8 ")</t>
  </si>
  <si>
    <t xml:space="preserve">  สองชั้น ( 1 " + 1/2 ")</t>
  </si>
  <si>
    <t>งานเคลือบหิน ขจัดฝุ่น ( Pre - Coat )</t>
  </si>
  <si>
    <t>งานผิวทางแอสฟัลท์ติกคอนกรีต</t>
  </si>
  <si>
    <t xml:space="preserve">  ค่าผสมวัสดุแอสฟัลท์ติกคอนกรีต</t>
  </si>
  <si>
    <t>ตัน</t>
  </si>
  <si>
    <t xml:space="preserve">  ค่าขนส่งอุปกรณ์ 80 ตัน ระยะขนส่ง100-300 กม.</t>
  </si>
  <si>
    <t xml:space="preserve">  ค่าติดตั้งเครื่องผสม</t>
  </si>
  <si>
    <t>ครั้ง</t>
  </si>
  <si>
    <t xml:space="preserve">  งานปูลาดและบดทับ ผิว AC หนา 5 ซม.</t>
  </si>
  <si>
    <t xml:space="preserve">     บนผิวไพรม์โค้ต</t>
  </si>
  <si>
    <t xml:space="preserve">     บนผิวแทคโค้ต</t>
  </si>
  <si>
    <t>งานผิวทางคอนกรีต</t>
  </si>
  <si>
    <t xml:space="preserve"> ค่าติดตั้งเครื่องผสม</t>
  </si>
  <si>
    <t xml:space="preserve">  ครั้ง</t>
  </si>
  <si>
    <t xml:space="preserve">  ค่าผสมคอนกรีต</t>
  </si>
  <si>
    <t xml:space="preserve">  ค่าขนส่งคอนกรีต</t>
  </si>
  <si>
    <t>ลบ.ม./กม.</t>
  </si>
  <si>
    <t xml:space="preserve">  ค่าแบบข้างติดตามยาว 2 ข้าง</t>
  </si>
  <si>
    <t xml:space="preserve">  ค่าปูผิวคอนกรีต</t>
  </si>
  <si>
    <t xml:space="preserve">  ค่าบ่มผิวทางคอนกรีต</t>
  </si>
  <si>
    <t>งาน Stabilized Layer</t>
  </si>
  <si>
    <t xml:space="preserve">  ค่าผสมวัสดุ ลูกรัง</t>
  </si>
  <si>
    <t xml:space="preserve">  ค่าบ่มวัสดุ ลูกรัง</t>
  </si>
  <si>
    <t xml:space="preserve">  ค่าผสมวัสดุ หินคลุก</t>
  </si>
  <si>
    <t xml:space="preserve">  ค่าบ่มวัสดุ หินคลุก</t>
  </si>
  <si>
    <t>งาน Pavement  In  Place  Recycling</t>
  </si>
  <si>
    <t>ขุดลึกเฉลี่ย 15 ซม.</t>
  </si>
  <si>
    <t>ขุดลึกเฉลี่ย 20 ซม.</t>
  </si>
  <si>
    <t>ขุดลึกเฉลี่ย 25 ซม.</t>
  </si>
  <si>
    <t>งาน Slurry Seal</t>
  </si>
  <si>
    <t>งาน Fog  Spray</t>
  </si>
  <si>
    <t>งาน Hot Mixed  Recycling</t>
  </si>
  <si>
    <t>ขุดลึก  3  ซม.</t>
  </si>
  <si>
    <t>ขุดลึก  4  ซม.</t>
  </si>
  <si>
    <t>ขุดลึก  5  ซม.</t>
  </si>
  <si>
    <t>ขุดลึก  6  ซม.</t>
  </si>
  <si>
    <t>งาน Milling</t>
  </si>
  <si>
    <t>ขุดลึก  10  ซม.</t>
  </si>
  <si>
    <t>แบบฟอร์ม ข้อมูลราคาและแหล่งวัสดุก่อสร้าง</t>
  </si>
  <si>
    <t>ลำดับที่</t>
  </si>
  <si>
    <t>ประเภท วัสดุ</t>
  </si>
  <si>
    <t>ราคาวัสดุ</t>
  </si>
  <si>
    <t>ข้อมูลที่ตั้งแหล่งวัสดุ</t>
  </si>
  <si>
    <t>ระยะขนส่ง (กม.)</t>
  </si>
  <si>
    <t>ราคา</t>
  </si>
  <si>
    <t>ทางราบ</t>
  </si>
  <si>
    <t>ทางลูกเนิน</t>
  </si>
  <si>
    <t>ทางภูเขา</t>
  </si>
  <si>
    <t>ค่าขนส่ง</t>
  </si>
  <si>
    <t>(บาท)</t>
  </si>
  <si>
    <t>(กม.)</t>
  </si>
  <si>
    <t>ดินถม</t>
  </si>
  <si>
    <t>ทรายถม</t>
  </si>
  <si>
    <t>ลูกรัง</t>
  </si>
  <si>
    <t>หินขนาดต่าง ๆ</t>
  </si>
  <si>
    <t xml:space="preserve"> - หินคลุก</t>
  </si>
  <si>
    <t xml:space="preserve"> - หินฝุ่น</t>
  </si>
  <si>
    <t xml:space="preserve"> - หิน 3/4</t>
  </si>
  <si>
    <t xml:space="preserve"> - หิน 1/2</t>
  </si>
  <si>
    <t xml:space="preserve"> - หิน 3/8</t>
  </si>
  <si>
    <t xml:space="preserve"> - หินย่อย</t>
  </si>
  <si>
    <t xml:space="preserve"> - หินใหญ่</t>
  </si>
  <si>
    <t xml:space="preserve"> - หินคละ</t>
  </si>
  <si>
    <t xml:space="preserve"> - 6 มม.</t>
  </si>
  <si>
    <t xml:space="preserve"> - 9 มม. </t>
  </si>
  <si>
    <t xml:space="preserve"> - 12 มม.</t>
  </si>
  <si>
    <t xml:space="preserve"> - 15  มม.</t>
  </si>
  <si>
    <t xml:space="preserve"> - 19 มม.</t>
  </si>
  <si>
    <t xml:space="preserve"> - 25 มม.</t>
  </si>
  <si>
    <t xml:space="preserve"> - 16 มม.</t>
  </si>
  <si>
    <t xml:space="preserve"> - 20 มม.</t>
  </si>
  <si>
    <t>เหล็กข้ออ้อย  SD 40  ( รวมค่าขนขึ้น-ลง )</t>
  </si>
  <si>
    <t xml:space="preserve"> - 28 มม.</t>
  </si>
  <si>
    <t>ลวดอัดแรง   ( รวมค่าขนขึ้น-ลง )</t>
  </si>
  <si>
    <t>  -  ชนิดเส้นเดี่ยว (PC WIRE) ศก. 4, 5, 7, 9 มม.</t>
  </si>
  <si>
    <t>   - ชนิดตีเกลียว (PC STRAND) 7 เส้น ศก. 3/8 นิ้ว และ 1/2 นิ้ว</t>
  </si>
  <si>
    <t>ลวดผูกเหล็ก</t>
  </si>
  <si>
    <t xml:space="preserve"> -  dia. 0.30 ม.</t>
  </si>
  <si>
    <t xml:space="preserve"> -  dia. 0.40 ม.</t>
  </si>
  <si>
    <t xml:space="preserve"> -  dia. 0.60 ม.</t>
  </si>
  <si>
    <t xml:space="preserve"> -  dia. 0.80 ม.</t>
  </si>
  <si>
    <t xml:space="preserve"> -  dia. 1.00 ม.</t>
  </si>
  <si>
    <t xml:space="preserve"> -  dia. 1.20 ม.</t>
  </si>
  <si>
    <t>ปูนซีเมนต์ปอร์ตแลนด์  ( รวมค่าขนขึ้นลง )</t>
  </si>
  <si>
    <t>ทรายหยาบ</t>
  </si>
  <si>
    <t>ทรายละเอียด</t>
  </si>
  <si>
    <t>หินผสมคอนกรีต</t>
  </si>
  <si>
    <t>ยางแอสฟัลต์</t>
  </si>
  <si>
    <t>MC-70</t>
  </si>
  <si>
    <t>CSS-1</t>
  </si>
  <si>
    <t>CRS-2</t>
  </si>
  <si>
    <t>CMS-2h</t>
  </si>
  <si>
    <t>CSS-1h</t>
  </si>
  <si>
    <t>กม.</t>
  </si>
  <si>
    <t>บาท/ตัน</t>
  </si>
  <si>
    <t>บาท/ลบ.ม.</t>
  </si>
  <si>
    <t>คอนกรีตผสมเสร็จ</t>
  </si>
  <si>
    <t xml:space="preserve">เมตร </t>
  </si>
  <si>
    <t>ตะปู</t>
  </si>
  <si>
    <t>ปูนซีเมนต์ปอร์ตแลนด์</t>
  </si>
  <si>
    <t>ปูนซีเมนต์ผสม</t>
  </si>
  <si>
    <t>ทราย</t>
  </si>
  <si>
    <t>=</t>
  </si>
  <si>
    <t>บาท/ตร.ม.</t>
  </si>
  <si>
    <t>(จากตารางค่าดำเนินการฯ)</t>
  </si>
  <si>
    <t>[1]</t>
  </si>
  <si>
    <t xml:space="preserve">[7] </t>
  </si>
  <si>
    <t>ค่างานต้นทุน</t>
  </si>
  <si>
    <t>[10] = [9]</t>
  </si>
  <si>
    <t>งานดินตัด</t>
  </si>
  <si>
    <t>ค่าดำเนินการ + ค่าเสื่อมราคา (ตัก)</t>
  </si>
  <si>
    <t>[1] (จากตารางค่าดำเนินการฯ)</t>
  </si>
  <si>
    <t>[2] (จากตารางค่าขนส่ง)</t>
  </si>
  <si>
    <t>(ระยะขนทิ้งให้คิดระยะทางตามความเป็นจริงพร้อมชี้แจงเหตุผลและแสดงหลักฐานประกอบ)</t>
  </si>
  <si>
    <t>[3] = [1] + [2]</t>
  </si>
  <si>
    <t>x</t>
  </si>
  <si>
    <t>[4] = [3] x 1.25</t>
  </si>
  <si>
    <t>ค่าดำเนินการ + ค่าเสื่อมราคา (ขุดตัด)</t>
  </si>
  <si>
    <t>[5] (จากตารางค่าดำเนินการฯ)</t>
  </si>
  <si>
    <t>[6] = [4] + [5]</t>
  </si>
  <si>
    <t>ส่วนขยายตัวของทราย</t>
  </si>
  <si>
    <t xml:space="preserve"> =</t>
  </si>
  <si>
    <t>ส่วนขยายตัวของดิน, ดินปนทราย</t>
  </si>
  <si>
    <t>งานดินถม</t>
  </si>
  <si>
    <t>ค่าวัสดุจากแหล่ง</t>
  </si>
  <si>
    <t>ค่าดำเนินการ + ค่าเสื่อมราคา (ขุด-ขน)</t>
  </si>
  <si>
    <t>[2] (จากตารางค่าดำเนินการฯ)</t>
  </si>
  <si>
    <t>[3] (จากตารางค่าขนส่ง)</t>
  </si>
  <si>
    <t>[4] = [1] + [2] + [3]</t>
  </si>
  <si>
    <t>ส่วนยุบตัว</t>
  </si>
  <si>
    <t>[5] = [4] x 1.60</t>
  </si>
  <si>
    <t>ค่าดำเนินการ + ค่าเสื่อมราคา (บดทับ)</t>
  </si>
  <si>
    <t>[6] (จากตารางค่าดำเนินการฯ)</t>
  </si>
  <si>
    <t>[7] = [5] + [6]</t>
  </si>
  <si>
    <t>งานทรายถม</t>
  </si>
  <si>
    <t>[5] = [4] x 1.40</t>
  </si>
  <si>
    <t>แนวเก่า</t>
  </si>
  <si>
    <t>แนวใหม่</t>
  </si>
  <si>
    <t>ส่วนยุบตัวของทรายถมคันทาง</t>
  </si>
  <si>
    <t>ดิน, ดินปนทราย ถมคันทาง</t>
  </si>
  <si>
    <t>ดินเหนียว ถมคันทาง</t>
  </si>
  <si>
    <t>(ดินเหนียวมีค่า CBR น้อยกว่า 2)</t>
  </si>
  <si>
    <t xml:space="preserve"> ค่าดินที่แหล่ง  =  ราคาที่ดิน (บาท/ไร่) x   1    x 1 =…………………………….บาท/ลบ.ม.</t>
  </si>
  <si>
    <t xml:space="preserve">     2                         1600    3</t>
  </si>
  <si>
    <t>งานรองพื้นทาง</t>
  </si>
  <si>
    <t>ค่าใช้จ่ายรวม</t>
  </si>
  <si>
    <t>[2]</t>
  </si>
  <si>
    <t>(จากตารางค่าขนส่ง)</t>
  </si>
  <si>
    <t>[5]</t>
  </si>
  <si>
    <t>งานผิวทางและไหล่ทาง</t>
  </si>
  <si>
    <t>บาท</t>
  </si>
  <si>
    <t>[3]</t>
  </si>
  <si>
    <t>[4] (จากบัญชีค่าแรงงานฯ)</t>
  </si>
  <si>
    <t>/</t>
  </si>
  <si>
    <t>กก. @</t>
  </si>
  <si>
    <t>ม. @</t>
  </si>
  <si>
    <t>[4]</t>
  </si>
  <si>
    <t>ลิตร @</t>
  </si>
  <si>
    <t>[7]</t>
  </si>
  <si>
    <t>[8]</t>
  </si>
  <si>
    <t>[10] = [9] / [1]</t>
  </si>
  <si>
    <t>[6]</t>
  </si>
  <si>
    <t>งานเบ็ดเตล็ด</t>
  </si>
  <si>
    <t>ลบ.ม. @</t>
  </si>
  <si>
    <t>บาท/ม.</t>
  </si>
  <si>
    <t>คอนกรีต ค2</t>
  </si>
  <si>
    <t>ไม้แบบ (1)</t>
  </si>
  <si>
    <t>ตร.ม. @</t>
  </si>
  <si>
    <t xml:space="preserve"> RB9</t>
  </si>
  <si>
    <t>ลวดผูกเหล็ก (ใช้ 2.5%)</t>
  </si>
  <si>
    <t>5.1.3</t>
  </si>
  <si>
    <t>พิจารณาที่ความยาว</t>
  </si>
  <si>
    <t>ไม้แบบ (2)</t>
  </si>
  <si>
    <t xml:space="preserve"> RB6</t>
  </si>
  <si>
    <t>[9]</t>
  </si>
  <si>
    <t>[10] = [2] + ….. + [9]</t>
  </si>
  <si>
    <t xml:space="preserve">ค่างานต้นทุนเฉลี่ย  </t>
  </si>
  <si>
    <t>[11] = [10] / [1]</t>
  </si>
  <si>
    <t>ราคาที่กำหนด</t>
  </si>
  <si>
    <t>งานปลูกหญ้า</t>
  </si>
  <si>
    <t>ค่าหญ้า</t>
  </si>
  <si>
    <t>วัสดุสำหรับคอนกรีตเสริมเหล็ก</t>
  </si>
  <si>
    <t>งานคอนกรีต</t>
  </si>
  <si>
    <t>การคิดงานคอนกรีตแบ่งเป็นสองกรณีคือ</t>
  </si>
  <si>
    <t>1.1  กรณีผิวทางคอนกรีตเสริมเหล็ก</t>
  </si>
  <si>
    <t>ค่าขนขึ้น-ลง</t>
  </si>
  <si>
    <t>[5] = [4]</t>
  </si>
  <si>
    <t>ทรายผสมคอนกรีต</t>
  </si>
  <si>
    <t>[4] = [3]</t>
  </si>
  <si>
    <t>งานคอนกรีต ค1 (Lean)</t>
  </si>
  <si>
    <t>ซีเมนต์</t>
  </si>
  <si>
    <t>เผื่อ 5% =</t>
  </si>
  <si>
    <t>เผื่อ 20% =</t>
  </si>
  <si>
    <t>หิน</t>
  </si>
  <si>
    <t>เผื่อ 15% =</t>
  </si>
  <si>
    <t>[6] (จากบัญชีค่าแรงงานฯ)</t>
  </si>
  <si>
    <t>งานคอนกรีต ค1</t>
  </si>
  <si>
    <t>งานคอนกรีต ค2</t>
  </si>
  <si>
    <t>งานคอนกรีต ค3</t>
  </si>
  <si>
    <t>งานคอนกรีต ค4</t>
  </si>
  <si>
    <t>งานปูนทราย</t>
  </si>
  <si>
    <t>ค่าผสมและเทคอนกรีต</t>
  </si>
  <si>
    <t>[5] = [1] + …… + [4]</t>
  </si>
  <si>
    <t>[6] = [5]</t>
  </si>
  <si>
    <t xml:space="preserve">                     กรมบัญชีกลาง กระทรวงการคลัง</t>
  </si>
  <si>
    <t>งานเหล็ก</t>
  </si>
  <si>
    <t>เหล็กเสริม  SR24  RB6</t>
  </si>
  <si>
    <t>รวมค่างานต้นทุน (บาท/ตัน)</t>
  </si>
  <si>
    <t>[4] = [1] + ….. + [3]</t>
  </si>
  <si>
    <t>รวมค่างานต้นทุน (บาท/กก.)</t>
  </si>
  <si>
    <t>บาท/กก.</t>
  </si>
  <si>
    <t>[5] = [4] / 1000</t>
  </si>
  <si>
    <t>เหล็กเสริม  SR24  RB9</t>
  </si>
  <si>
    <t>เหล็กเสริม  SR24  RB12</t>
  </si>
  <si>
    <t>เหล็กเสริม  SR24  RB15</t>
  </si>
  <si>
    <t>เหล็กเสริม  SR24  RB19</t>
  </si>
  <si>
    <t>เหล็กเสริม  SR24  RB25</t>
  </si>
  <si>
    <t>เหล็กเสริม  SD30  DB12</t>
  </si>
  <si>
    <t>เหล็กเสริม  SD30  DB16</t>
  </si>
  <si>
    <t>เหล็กเสริม  SD30  DB20</t>
  </si>
  <si>
    <t>เหล็กเสริม  SD30  DB25</t>
  </si>
  <si>
    <t>เหล็กเสริม  SD30  DB28</t>
  </si>
  <si>
    <t>………...</t>
  </si>
  <si>
    <t>เหล็กเสริม  SD40  DB12</t>
  </si>
  <si>
    <t>เหล็กเสริม  SD40  DB16</t>
  </si>
  <si>
    <t>เหล็กเสริม  SD40  DB20</t>
  </si>
  <si>
    <t>เหล็กเสริม  SD40  DB25</t>
  </si>
  <si>
    <t>เหล็กเสริม  SD40  DB28</t>
  </si>
  <si>
    <t xml:space="preserve">                     กรมบัญชีกลางกระทรวงการคลัง</t>
  </si>
  <si>
    <t xml:space="preserve">                  - ค่าขนขึ้น-ลงเหล็กใช้ตามหลักเกณฑ์การคำนวณราคากลางงานก่อสร้างทาง สะพาน และท่อเหลี่ยม กรมบัญชีกลาง กระทรวงการคลัง</t>
  </si>
  <si>
    <t xml:space="preserve">                  - เปอร์เซนต์ลวดผูกเหล็กใช้ตามหลักเกณฑ์การคำนวณราคากลางงานก่อสร้างทาง สะพาน และท่อเหลี่ยม กรมบัญชีกลาง กระทรวงการคลัง</t>
  </si>
  <si>
    <t xml:space="preserve">                     และจะแสดงไว้ในราคาต่อหน่วยของงานส่วนที่มีการเสริมเหล็ก</t>
  </si>
  <si>
    <t>ค่างานไม้แบบทั่วไป</t>
  </si>
  <si>
    <t>ใช้สำหรับงานต่าง  ๆ  เช่น  งาน  R.C.MANHOLES,  CATCH BASINS,  DROP  INLET,  RETAINING  WALL,  CONCRETE  BARRIERS  เป็นต้น</t>
  </si>
  <si>
    <t>คิดจากพื้นที่</t>
  </si>
  <si>
    <t>ไม้กระบาก</t>
  </si>
  <si>
    <t>ลบ.ฟ. @</t>
  </si>
  <si>
    <t>ไม้คร่าว</t>
  </si>
  <si>
    <t>ต้น @</t>
  </si>
  <si>
    <t>[5] = [1] + [2] + [3] + [4]</t>
  </si>
  <si>
    <t>ใช้งานได้  4  ตรั้ง</t>
  </si>
  <si>
    <t>[6] = [5] / 4</t>
  </si>
  <si>
    <t>น้ำมันทาผิวไม้</t>
  </si>
  <si>
    <t>ค่าแรงไม้แบบ</t>
  </si>
  <si>
    <t>รวมค่างานต้นทุน</t>
  </si>
  <si>
    <t>[9] = [6] + [7] + [8]</t>
  </si>
  <si>
    <t>ค่างานไม้แบบอย่างง่าย</t>
  </si>
  <si>
    <t xml:space="preserve">ใช้สำหรับงานต่าง  ๆ  เช่น  CURB  AND  GUTTER,
R.C.DITCH  LINING,  CONCRETE  SLOPE  PROTECTION, 
</t>
  </si>
  <si>
    <t xml:space="preserve"> GUIDE  POST,  R.O.W.MONUMENT,
SIGN  POST, KILOMETER  STONE  เป็นต้น</t>
  </si>
  <si>
    <t>ใช้งานได้  5  ครั้ง</t>
  </si>
  <si>
    <t>[6] = [5] / 5</t>
  </si>
  <si>
    <t>ค่าไม้แบบงานสะพานและท่อเหลี่ยม</t>
  </si>
  <si>
    <t>ไม้อัดยางหนา 4 มม.</t>
  </si>
  <si>
    <t>ใช้งานได้  3  ครั้ง</t>
  </si>
  <si>
    <t>[6] = [5] / 3</t>
  </si>
  <si>
    <t>เงินล่วงหน้าจ่าย</t>
  </si>
  <si>
    <t>%</t>
  </si>
  <si>
    <t>ดอกเบี้ยเงินกู้</t>
  </si>
  <si>
    <t>% ต่อปี</t>
  </si>
  <si>
    <t>เงินประกันผลงานหัก</t>
  </si>
  <si>
    <t>ค่าภาษีมูลค่าเพิ่ม (VAT)</t>
  </si>
  <si>
    <t>ค่างาน</t>
  </si>
  <si>
    <t>ค่าใช้จ่ายในการดำเนินงานก่อสร้าง</t>
  </si>
  <si>
    <t>ภาษีมูลค่าเพิ่ม</t>
  </si>
  <si>
    <t>(ทุน)</t>
  </si>
  <si>
    <t>ในรูป</t>
  </si>
  <si>
    <t>Factor  F ของเก่า</t>
  </si>
  <si>
    <t>เพิ่มขึ้น</t>
  </si>
  <si>
    <t>ค่า</t>
  </si>
  <si>
    <t>Factor</t>
  </si>
  <si>
    <t>(VAT)</t>
  </si>
  <si>
    <t>อากร</t>
  </si>
  <si>
    <t>อำนวย</t>
  </si>
  <si>
    <t>อำนวยเพิ่ม</t>
  </si>
  <si>
    <t>ดอกเพิ่ม</t>
  </si>
  <si>
    <t>เสี่ยงเพิ่ม</t>
  </si>
  <si>
    <t>ฝนชุก</t>
  </si>
  <si>
    <t>เดิม</t>
  </si>
  <si>
    <t>ล้านบาท</t>
  </si>
  <si>
    <t>อำนวยการ</t>
  </si>
  <si>
    <t>ดอกเบี้ย</t>
  </si>
  <si>
    <t>กำไร</t>
  </si>
  <si>
    <t>ค่าใช้จ่าย</t>
  </si>
  <si>
    <t>ไม่เกิน</t>
  </si>
  <si>
    <t>เกินกว่า</t>
  </si>
  <si>
    <t xml:space="preserve">หมายเหตุ </t>
  </si>
  <si>
    <t xml:space="preserve"> 1.  กรณีค่างานอยู่ระหว่างช่วงของค่างานต้นทุนที่กำหนด ให้เทียบอัตราส่วนเพื่อหาค่า Factor F</t>
  </si>
  <si>
    <t xml:space="preserve">                   </t>
  </si>
  <si>
    <t>VAT</t>
  </si>
  <si>
    <t>≤</t>
  </si>
  <si>
    <t>≥</t>
  </si>
  <si>
    <t>[10]</t>
  </si>
  <si>
    <t>[13]</t>
  </si>
  <si>
    <t>5.2.1</t>
  </si>
  <si>
    <t>พิจารณจากพื้นที่</t>
  </si>
  <si>
    <t>ขุดดินหล่อคาน</t>
  </si>
  <si>
    <t>ลวดผูกเหล็กใช้ 2.5%</t>
  </si>
  <si>
    <t>หินกรองน้ำ No. 1-2</t>
  </si>
  <si>
    <t>ยางมะตอยอุดรอยต่อ</t>
  </si>
  <si>
    <t xml:space="preserve"> DB12</t>
  </si>
  <si>
    <t xml:space="preserve">ค่าใช้จ่ายเฉลี่ย      </t>
  </si>
  <si>
    <t>คอนกรีต(ค3)</t>
  </si>
  <si>
    <t>ชุด</t>
  </si>
  <si>
    <t xml:space="preserve"> DB12 SD40</t>
  </si>
  <si>
    <t xml:space="preserve"> DB25 SD40</t>
  </si>
  <si>
    <t>คอนกรีต ค 3</t>
  </si>
  <si>
    <t>นั่งร้านตอกเสาเข็ม (ถ้ามี)</t>
  </si>
  <si>
    <t>คานไม้ 2" x 6" x 5.00 ม.</t>
  </si>
  <si>
    <t>ตงไม้ 2" x 6" x 5.00 ม.</t>
  </si>
  <si>
    <t>พื้นไม้ 2" x 6" x 5.00 ม.</t>
  </si>
  <si>
    <t>ตะปูยึดนั่งร้าน</t>
  </si>
  <si>
    <t>ค่าแรงประกอบและรื้อถอน</t>
  </si>
  <si>
    <t>ค่างานต้นทุนเฉลี่ย</t>
  </si>
  <si>
    <t>⁄</t>
  </si>
  <si>
    <t>คอนกรีต ค3</t>
  </si>
  <si>
    <t>ไม้แบบ (3)</t>
  </si>
  <si>
    <t>แผ่นยางรองคานสะพาน</t>
  </si>
  <si>
    <t xml:space="preserve"> - ขนาด 1.0 x 15.0 x 100 ซม.</t>
  </si>
  <si>
    <t xml:space="preserve"> DB16 SD40</t>
  </si>
  <si>
    <t>แผ่น @</t>
  </si>
  <si>
    <t>คอนกรีต ค4</t>
  </si>
  <si>
    <t>ลวดอัดแรง PC STRAND</t>
  </si>
  <si>
    <t>พิจารณาที่</t>
  </si>
  <si>
    <t xml:space="preserve"> DB20 SD40</t>
  </si>
  <si>
    <t xml:space="preserve">[9] </t>
  </si>
  <si>
    <t xml:space="preserve">ค่างานต้นทุนเฉลี่ย     </t>
  </si>
  <si>
    <t xml:space="preserve">ส่วนราชการ      </t>
  </si>
  <si>
    <t>กระทรวงคมนาคม</t>
  </si>
  <si>
    <t xml:space="preserve">ประเภทงาน   </t>
  </si>
  <si>
    <t xml:space="preserve">สถานที่ก่อสร้าง </t>
  </si>
  <si>
    <t>สรุปประมาณราคาตามแบบฟอร์ม</t>
  </si>
  <si>
    <t>จำนวน</t>
  </si>
  <si>
    <t>เดือน</t>
  </si>
  <si>
    <t>พ.ศ.</t>
  </si>
  <si>
    <t>รวมค่าก่อสร้าง</t>
  </si>
  <si>
    <t>ประเภทงานทาง</t>
  </si>
  <si>
    <t xml:space="preserve"> - เงินล่วงหน้าจ่าย</t>
  </si>
  <si>
    <t xml:space="preserve"> - ดอกเบี้ยเงินกู้</t>
  </si>
  <si>
    <t>งานอำนวยการ</t>
  </si>
  <si>
    <t xml:space="preserve"> - เงินประกันผลงานหัก</t>
  </si>
  <si>
    <t>รวมเป็นค่าก่อสร้าง</t>
  </si>
  <si>
    <t>สรุป</t>
  </si>
  <si>
    <t xml:space="preserve">คิดเป็นเงินค่าก่อสร้างประมาณ   </t>
  </si>
  <si>
    <t>ตัวอักษร</t>
  </si>
  <si>
    <t>เห็นชอบ</t>
  </si>
  <si>
    <t xml:space="preserve">แบบประเมินราคางานก่อสร้างทาง </t>
  </si>
  <si>
    <t>สีขาว</t>
  </si>
  <si>
    <t xml:space="preserve">รวมค่างานต้นทุนงานทาง </t>
  </si>
  <si>
    <t>ประเภทงานอำนวยการ</t>
  </si>
  <si>
    <t>จัดหาสำนักงาน พร้อมอุปกรณ์อำนวยความสะดวก</t>
  </si>
  <si>
    <t>ค่าใช้จ่ายต่อเดือน</t>
  </si>
  <si>
    <t>เหมาจ่ายตรง</t>
  </si>
  <si>
    <t>L.S.</t>
  </si>
  <si>
    <t>การจัดหารถยนต์ พร้อมน้ำมันเชื้อเพลิง การบำรุงรักษาและประกันภัย</t>
  </si>
  <si>
    <t>เครื่องมือและอุปกรณ์ในการสำรวจ</t>
  </si>
  <si>
    <t>งานควบคุมและป้องกันมลภาวะในการก่อสร้าง</t>
  </si>
  <si>
    <t>เงินจร</t>
  </si>
  <si>
    <t>งานบำรุงรักษาและป้องกันผลกระทบด้านการจราจร</t>
  </si>
  <si>
    <t>[11]</t>
  </si>
  <si>
    <t>[12]</t>
  </si>
  <si>
    <t>1.1.5</t>
  </si>
  <si>
    <t>ไม้แบบ(1)</t>
  </si>
  <si>
    <t xml:space="preserve">[3]  </t>
  </si>
  <si>
    <t>ไม้แบบ(2)</t>
  </si>
  <si>
    <t>1.1.5(1) งานราวสะพาน คสล.</t>
  </si>
  <si>
    <t>งานระบบระบายน้ำ</t>
  </si>
  <si>
    <t>เมตร  @</t>
  </si>
  <si>
    <t>1.2  กรณีผิวทางAsphalt concrete</t>
  </si>
  <si>
    <t>5.1.1</t>
  </si>
  <si>
    <t xml:space="preserve">งานท่อระบายน้ำ คสล. ชนิดกลม </t>
  </si>
  <si>
    <t>ขุดดิน</t>
  </si>
  <si>
    <t>ค่าท่อ คสล.</t>
  </si>
  <si>
    <t>ค่าขนส่งท่อ</t>
  </si>
  <si>
    <t>ทรายถมหลังท่อ</t>
  </si>
  <si>
    <t>คอนกรีตหยาบ 1:3:5</t>
  </si>
  <si>
    <t>ค่ายาแนวท่อ</t>
  </si>
  <si>
    <t>ค่าดำเนินการวางท่อ</t>
  </si>
  <si>
    <t>[8] = [1] + [2] + [3] + [4] + [5] + [6] + [7]</t>
  </si>
  <si>
    <t>ระยะ</t>
  </si>
  <si>
    <t xml:space="preserve">งานรองพื้นทาง </t>
  </si>
  <si>
    <t>คอนกรีต ค 4</t>
  </si>
  <si>
    <t>ตารางค่าขนส่งวัสดุก่อสร้าง รถบรรทุก 10 ล้อ และรถลากพ่วง (กรณีน้ำหนักรวมไม่เกิน 47 ตัน)</t>
  </si>
  <si>
    <t>ภูมิประเทศเป็น ที่ราบ ผิวทางลาดยาง  และการจราจรปรกติ</t>
  </si>
  <si>
    <t>ค่าบรรทุก</t>
  </si>
  <si>
    <t>ขนส่ง</t>
  </si>
  <si>
    <t>บาท / ตัน</t>
  </si>
  <si>
    <t>บาท / ลบ.ม.</t>
  </si>
  <si>
    <t>201-</t>
  </si>
  <si>
    <t>ต่อ กม.</t>
  </si>
  <si>
    <t>@</t>
  </si>
  <si>
    <t>บาท/ลิตร</t>
  </si>
  <si>
    <t xml:space="preserve">หลักนำโค้ง </t>
  </si>
  <si>
    <t>หลัก</t>
  </si>
  <si>
    <t>ค่าติดตั้งเครื่องผสมคอนกรีต</t>
  </si>
  <si>
    <t>ค่าผสมคอนกรีต</t>
  </si>
  <si>
    <t>ค่าแรงเทคอนกรีต</t>
  </si>
  <si>
    <t>[7] = [1] + …… + [6]</t>
  </si>
  <si>
    <t>[8] = [7]</t>
  </si>
  <si>
    <t>ปริมาณงานคอนกรีตทั้งโครงการ</t>
  </si>
  <si>
    <t>ค่าติดตั้งเครื่องผสม 150,000 บาท/ครั้ง</t>
  </si>
  <si>
    <t>ค่าติดตั้งเครื่องผสมคอนกรีต = ค่าติดตั้งเครื่องผสม / ปริมาณงานคอนกรีตทั้งโครงการ</t>
  </si>
  <si>
    <t xml:space="preserve">                             = 150,000 / ปริมาณงานคอนกรีตทั้งโครงการ =</t>
  </si>
  <si>
    <t>งานคอนกรีต ค3 (สำหรับงานผิวทาง)</t>
  </si>
  <si>
    <t>(ไม่คิดค่าใช้จ่าย)</t>
  </si>
  <si>
    <t>ส่วนขยายตัว</t>
  </si>
  <si>
    <t>ความหนา</t>
  </si>
  <si>
    <t>คิดเป็นพื้นที่</t>
  </si>
  <si>
    <t>ค่าคอนกรีต ค3 (สำหรับงานผิวทาง)</t>
  </si>
  <si>
    <t>ลบ.ม.  @</t>
  </si>
  <si>
    <t>ค่าเหล็กเสริม</t>
  </si>
  <si>
    <t>ตร.ม.  @</t>
  </si>
  <si>
    <t>ค่าแบบ</t>
  </si>
  <si>
    <t>[7] = [6] x 10            [6](จากตารางค่าดำเนินการฯ)</t>
  </si>
  <si>
    <t>ค่าปูผิวทาง</t>
  </si>
  <si>
    <t>[9] = [8] x พื้นที่         [8](จากตารางค่าดำเนินการฯ)</t>
  </si>
  <si>
    <t>ค่าบ่ม</t>
  </si>
  <si>
    <t>[11] = [10] xพื้นที่      [10](จากตารางค่าดำเนินการฯ)</t>
  </si>
  <si>
    <t xml:space="preserve">ค่าใช้จ่ายรวม                                                                  </t>
  </si>
  <si>
    <t>[12] =[1]+ [2] +[3] + [4] + [5] + [7] + [9] + [11]</t>
  </si>
  <si>
    <t>[13] = [12] / พื้นที่</t>
  </si>
  <si>
    <t>คิดจากความยาว</t>
  </si>
  <si>
    <t>ค่าตัด  JOINT และหยอดยาง</t>
  </si>
  <si>
    <t>JOINT  SEALER</t>
  </si>
  <si>
    <t>[5] = [2] + [3] + [4]</t>
  </si>
  <si>
    <t>[6] = [5] / [1]</t>
  </si>
  <si>
    <t>ท่อน @</t>
  </si>
  <si>
    <t>แผ่นพลากติก หนา 0.07 มม.</t>
  </si>
  <si>
    <t>ช่วง</t>
  </si>
  <si>
    <t>ม.  @</t>
  </si>
  <si>
    <t>คอนกรีตหยาบ</t>
  </si>
  <si>
    <t>[5](จากบัญชีค่าแรงงานฯ)</t>
  </si>
  <si>
    <t>[7]  = [1] + ….. + [6]</t>
  </si>
  <si>
    <t>ค่าแรงปลูก  +  ค่าขนส่ง (ค่าแรง)</t>
  </si>
  <si>
    <t>ค่ารดน้ำ - บำรุงรักษา (ค่าบำรุงรักษา)</t>
  </si>
  <si>
    <t>[13] = [1] + ….. + [12]</t>
  </si>
  <si>
    <t xml:space="preserve">[11] </t>
  </si>
  <si>
    <t xml:space="preserve">[12] </t>
  </si>
  <si>
    <t xml:space="preserve">[4]  </t>
  </si>
  <si>
    <t>4.1.1</t>
  </si>
  <si>
    <t>งานผิวทางและไหล่ทางคอนกรีตเสริมเหล็ก</t>
  </si>
  <si>
    <t>แบบ ต.63 , ต.66  (2 แผ่นป้ายต่อชุด)</t>
  </si>
  <si>
    <t>P1</t>
  </si>
  <si>
    <t>P2</t>
  </si>
  <si>
    <t>P3</t>
  </si>
  <si>
    <t>P4</t>
  </si>
  <si>
    <t>P5</t>
  </si>
  <si>
    <t>1.1.1(2) สกัดหัวเสาเข็ม ขนาด 0.40 x 0.40 ม.</t>
  </si>
  <si>
    <t>1.1.1(4) นั่งร้านตอกเสาเข็ม</t>
  </si>
  <si>
    <t>1.1.5(2) งานทางเท้า คสล.</t>
  </si>
  <si>
    <t>1.1.5(3) งานป้ายชื่อสะพาน คสล.</t>
  </si>
  <si>
    <t>แท่น</t>
  </si>
  <si>
    <t>1.1.6</t>
  </si>
  <si>
    <t>งานเสาไฟฟ้าและระบบไฟฟ้าแสงสว่างบนสะพาน</t>
  </si>
  <si>
    <t>1.1.7</t>
  </si>
  <si>
    <t>งานทางเบี่ยงชั่วคราว</t>
  </si>
  <si>
    <t>ฐาน</t>
  </si>
  <si>
    <t>P6</t>
  </si>
  <si>
    <t>P7</t>
  </si>
  <si>
    <t>ค่ายาง CSS-1   =  1.00  ลิตร/ตร.ม.@</t>
  </si>
  <si>
    <t>[1] (จากตารางที่ 1)</t>
  </si>
  <si>
    <t>ค่าดำเนินการ + ค่าเสื่อมราคา</t>
  </si>
  <si>
    <t>ปริมาณ ASPHALTIC CONCRETE ทั้งหมด</t>
  </si>
  <si>
    <t>[2] = [1] x 2.4</t>
  </si>
  <si>
    <t>ปริมาณ ASPHALTIC CONCRETE ที่ใช้คำนวณ</t>
  </si>
  <si>
    <t>[3] = [2]</t>
  </si>
  <si>
    <t>(กรณีปริมาณน้อยกว่า  10,000  ตัน  ให้ใช้ปริมาณ  10,000  ตันในการคำนวณ)</t>
  </si>
  <si>
    <t>ค่าติดตั้งเครื่องผสม  250,000  บาท</t>
  </si>
  <si>
    <t>250,000 / …[3]…</t>
  </si>
  <si>
    <t>บาท/ตัน AC</t>
  </si>
  <si>
    <t>[4] = 250,000/[3]</t>
  </si>
  <si>
    <t>[5] = [3]</t>
  </si>
  <si>
    <t>[6] (ตารางที่ 3)</t>
  </si>
  <si>
    <t>บาท/ตันอุปกรณ์</t>
  </si>
  <si>
    <t>[7] (จากตารางค่าขนส่ง)</t>
  </si>
  <si>
    <t>ค่าขนส่งอุปกรณ์ 80 ตันระยะขนส่ง 100 กม.</t>
  </si>
  <si>
    <t>[8] = [7] x 80 / [5]</t>
  </si>
  <si>
    <t>ค่าติดตั้งเครื่องผสม  250,000  บาท/ครั้ง</t>
  </si>
  <si>
    <t>[9] = [4]</t>
  </si>
  <si>
    <t>บาท/ตันวัสดุ</t>
  </si>
  <si>
    <t>[11] (จากตารางค่าขนส่ง)</t>
  </si>
  <si>
    <t>[12] = ([10]+[11]) x 0.052</t>
  </si>
  <si>
    <t>ค่าหินจากแหล่ง</t>
  </si>
  <si>
    <t>(คิดเฉลี่ยขนาดต่างๆ หินฝุ่น 0.50 ลบ.ม., หิน 3/4" 0.25 ลบ.ม., หิน 1/2" 0.10 ลบ.ม., หิน 3/8" 0.15 ลบ.ม.)</t>
  </si>
  <si>
    <t>ค่าขนส่งหินจากแหล่ง</t>
  </si>
  <si>
    <t>[14] (จากตารางต่าขนส่ง)</t>
  </si>
  <si>
    <t>รวมราคาหิน</t>
  </si>
  <si>
    <t>[15] = [13] + [14]</t>
  </si>
  <si>
    <t>ค่าหิน 0.74 ลบ.ม. @</t>
  </si>
  <si>
    <t>…[15]………</t>
  </si>
  <si>
    <t>[16] = [15] x 0.74</t>
  </si>
  <si>
    <t>ค่าดำเนินการ + ค่าเสื่อมราคาค่าผสมวัสดุแอสฟัลท์</t>
  </si>
  <si>
    <t xml:space="preserve">บาท/ตัน AC </t>
  </si>
  <si>
    <t>[17](จากตารางค่าดำเนินการฯ)</t>
  </si>
  <si>
    <t>[18] (จากตารางค่าขนส่ง)</t>
  </si>
  <si>
    <t>ค่าสัมประสิทธิ์การบดทับ</t>
  </si>
  <si>
    <t>[19] (ตารางที่ 3)</t>
  </si>
  <si>
    <t>ค่าดำเนินการ+เสื่อมราคาปูลาดและบดทับหนา</t>
  </si>
  <si>
    <t>ซม.</t>
  </si>
  <si>
    <t>[20](จากตารางค่าดำเนินการฯ)</t>
  </si>
  <si>
    <t>[21] = [6] x [19] x [20]</t>
  </si>
  <si>
    <t>[22] = [8]+[9]+[12]+[16]+[17]+[18]+[21]</t>
  </si>
  <si>
    <t>[23] = [22] / [6]</t>
  </si>
  <si>
    <t>[6](จากบัญชีค่าแรงงานฯ)</t>
  </si>
  <si>
    <t>จุด @</t>
  </si>
  <si>
    <t>[13] = [12]</t>
  </si>
  <si>
    <t>บาท/เมตร</t>
  </si>
  <si>
    <t>[8] = [1] + ….. + [7]</t>
  </si>
  <si>
    <t>ชุด @</t>
  </si>
  <si>
    <t>เฉลี่ย</t>
  </si>
  <si>
    <t xml:space="preserve">1.1.1(3) ตอกเสาเข็ม ขนาด 0.40 x 0.40 ม. </t>
  </si>
  <si>
    <t xml:space="preserve">[14] = [13] </t>
  </si>
  <si>
    <t>เหล็กหล่อปลายเสาเข็ม</t>
  </si>
  <si>
    <t>ชุด  @</t>
  </si>
  <si>
    <t xml:space="preserve">[10] </t>
  </si>
  <si>
    <t>ไม้แบบ</t>
  </si>
  <si>
    <t>ท่อระบายน้ำ PVC 3" x 0.70 ม.</t>
  </si>
  <si>
    <t>ท่อน  @</t>
  </si>
  <si>
    <t>[9]  = [2] + ….. + [8]</t>
  </si>
  <si>
    <t>ค่าจัดทำตัวอักษรป้ายชื่อสะพาน  [เซาะร่องสีทอง]</t>
  </si>
  <si>
    <t>งานบุแผ่นแกรนิตสีดำ</t>
  </si>
  <si>
    <t>งานผิวทรายล้าง เบอร์ 4</t>
  </si>
  <si>
    <t>คอนกรีต (ค3)</t>
  </si>
  <si>
    <t>แผ่นเหล็ก 400 x 400 x 25 mm</t>
  </si>
  <si>
    <t>ตัว  @</t>
  </si>
  <si>
    <t>ค่าทาสีและติดตั้งแผ่นสะท้อนแสง</t>
  </si>
  <si>
    <t>Ground Rod</t>
  </si>
  <si>
    <t>ค่าแรงประกอบติดตั้ง</t>
  </si>
  <si>
    <t>บาท/ชุด</t>
  </si>
  <si>
    <t>เมตร @</t>
  </si>
  <si>
    <t>ค่าแรง</t>
  </si>
  <si>
    <t xml:space="preserve">ค่าดำเนินการ + ค่าเสื่อมราคาเครื่องจักร  </t>
  </si>
  <si>
    <t xml:space="preserve">รวมค่างานต้นทุน                                           </t>
  </si>
  <si>
    <t xml:space="preserve">ค่าขนทิ้ง </t>
  </si>
  <si>
    <t>ค่าดำเนินการและค่าเสื่อมราคา (บดทับ)</t>
  </si>
  <si>
    <t>[2] = [1]</t>
  </si>
  <si>
    <t>[4] = [3] x 1.40</t>
  </si>
  <si>
    <t>ค่าดำเนินการ + ค่าเสื่อมราคา (บดทับ) 75%</t>
  </si>
  <si>
    <t>CAP + ทาสี + จาระบี</t>
  </si>
  <si>
    <t xml:space="preserve">ชุด  @ </t>
  </si>
  <si>
    <t>JOINT  FILLER</t>
  </si>
  <si>
    <t xml:space="preserve">JOINT  SEALER </t>
  </si>
  <si>
    <t xml:space="preserve">ค่าหยอดยาง </t>
  </si>
  <si>
    <t>[6]   (จากตารางค่าดำเนินการฯ)</t>
  </si>
  <si>
    <t xml:space="preserve">แผ่นพลาสติก </t>
  </si>
  <si>
    <t>ลบ.ฟ.  @</t>
  </si>
  <si>
    <t>[9] = [2] + [3] + [4] + [5] + [6] + [7] + [8]</t>
  </si>
  <si>
    <t>ทาสี + จาระบี</t>
  </si>
  <si>
    <t xml:space="preserve"> ชุด  @ </t>
  </si>
  <si>
    <t>[7] = [2] + [3] + [4] + [5] + [6]</t>
  </si>
  <si>
    <t>[8] = [7] / [1]</t>
  </si>
  <si>
    <t>5.1.2</t>
  </si>
  <si>
    <t>งานกำแพง คสล. ปากท่อ</t>
  </si>
  <si>
    <t>เหมาจ่าย</t>
  </si>
  <si>
    <t>2.2.2</t>
  </si>
  <si>
    <t>งานวัสดุคัดเลือก</t>
  </si>
  <si>
    <t>งานพื้นทาง</t>
  </si>
  <si>
    <t>งาน Pavement In-Place Recycling</t>
  </si>
  <si>
    <t>4.1.2</t>
  </si>
  <si>
    <t>PRIME  COAT  &amp;  TACK  COAT   สำหรับผิวทางและไหล่ทาง</t>
  </si>
  <si>
    <t>งานผิวทางและไหล่ทาง ชนิดอื่น ๆ ( ระบุชนิด )</t>
  </si>
  <si>
    <t>รางระบายน้ำ คสล.</t>
  </si>
  <si>
    <t xml:space="preserve"> - แบบอื่น ๆ</t>
  </si>
  <si>
    <t>5.1.4</t>
  </si>
  <si>
    <t>งานบ่อรับน้ำ คสล.</t>
  </si>
  <si>
    <t>บ่อ</t>
  </si>
  <si>
    <t>โครงสร้างระบายน้ำ  อื่น ๆ  ( ระบุชนิด )</t>
  </si>
  <si>
    <t>แบบ ปักแถว</t>
  </si>
  <si>
    <t>5.2.2</t>
  </si>
  <si>
    <t>แบบ ปูแผ่น</t>
  </si>
  <si>
    <t>5.2.3</t>
  </si>
  <si>
    <t>ชนิด....................</t>
  </si>
  <si>
    <t>แบบ บ.1</t>
  </si>
  <si>
    <t>แบบ บ.2</t>
  </si>
  <si>
    <t>แบบ บ.37 - บ.55</t>
  </si>
  <si>
    <t>แบบ ต.61</t>
  </si>
  <si>
    <t>แบบ ต.63 , ต.66  (1 แผ่นป้ายต่อชุด)</t>
  </si>
  <si>
    <t>แบบ ต.64 , ต.67</t>
  </si>
  <si>
    <t>แบบ ต.69</t>
  </si>
  <si>
    <t>แบบ ต.74</t>
  </si>
  <si>
    <t>แบบ ต.76</t>
  </si>
  <si>
    <t>แบบ ต.77</t>
  </si>
  <si>
    <t>แบบ ต.78</t>
  </si>
  <si>
    <t>ป้าย หมายเลขทางหลวงชนบท (น-1)</t>
  </si>
  <si>
    <t>ป้าย บอกจุดหมาย ปลายทาง (1-น-2)</t>
  </si>
  <si>
    <t>ป้าย บอกจุดหมาย ปลายทาง (2-น-2)</t>
  </si>
  <si>
    <t>ป้าย บอกจุดหมาย ปลายทาง (3-น-2)</t>
  </si>
  <si>
    <t>ป้าย บอกระยะทาง (1-น-3)</t>
  </si>
  <si>
    <t>ป้าย แจ้งข่าว (ข.1 , ข.2)</t>
  </si>
  <si>
    <t>หลักกิโลเมตร</t>
  </si>
  <si>
    <t>หลักเขตทาง</t>
  </si>
  <si>
    <t>Timber  Barricade</t>
  </si>
  <si>
    <t>งานไฟฟ้าแสงสว่าง</t>
  </si>
  <si>
    <t>งานเสาไฟฟ้าแสงสว่างและอุปกรณ์ประกอบ</t>
  </si>
  <si>
    <t>6.1.1</t>
  </si>
  <si>
    <t>6.1.2</t>
  </si>
  <si>
    <t>ตู้ควบคุมไฟถนนพร้อมอุปกรณ์ประกอบ</t>
  </si>
  <si>
    <t>1.2.2(5) งานแผงปิดตอม่อ ช่วง 00.00 + 00.00 (P)</t>
  </si>
  <si>
    <t>1.1.3</t>
  </si>
  <si>
    <t>งานพื้นสะพานหล่อในที่</t>
  </si>
  <si>
    <t>1.1.4(1) หล่อคานอัดแรง Plank - Girder สำหรับช่วงความยาว 5.00 - 12.00 ม.(ตัวริม)</t>
  </si>
  <si>
    <t>1.1.4(2) หล่อคานอัดแรง Plank - Girder สำหรับช่วงความยาว 5.00 - 12.00 ม.(ตัวใน)</t>
  </si>
  <si>
    <t>1.1.4(3) ติดตั้งคานอัดแรง Plank - Girder สำหรับช่วงความยาว 5.00 - 12.00 ม.</t>
  </si>
  <si>
    <t>1.1.4(4) หล่อคานอัดแรง Box - Girder สำหรับช่วงความยาว 13.00 - 20.00 ม.(ตัวริม)</t>
  </si>
  <si>
    <t>1.1.4(5) หล่อคานอัดแรง Box - Girder สำหรับช่วงความยาว 13.00 - 20.00 ม.(ตัวใน)</t>
  </si>
  <si>
    <t>1.1.4(6) ติดตั้งคานอัดแรง Box - Girder สำหรับช่วงความยาว 13.00 - 20.00 ม.</t>
  </si>
  <si>
    <t>1.1.4(10) งานคอนกรีต Topping</t>
  </si>
  <si>
    <t>1.1.5(5) ป้ายข้อมูลสะพานชนิด  หินแกรนิตสีดำ  ขนาด  0.18 x 0.38 ม.</t>
  </si>
  <si>
    <t>1.1.5(6) รอยต่อเพื่อการขยายตัว</t>
  </si>
  <si>
    <t>1.1.5(8) งานลาดทางเท้า</t>
  </si>
  <si>
    <t>1.1.5(9) แท่นติดตั้งเสาไฟฟ้า (กรณีติดตั้งไฟฟ้าบนสะพาน)</t>
  </si>
  <si>
    <t>1.1.5(7) สีสะท้อนแสงคอสะพาน</t>
  </si>
  <si>
    <t>แห่ง</t>
  </si>
  <si>
    <t>1.1.7(1)  งานเสาไฟฟ้าแสงสว่างและอุปกรณ์ประกอบ</t>
  </si>
  <si>
    <t>2.1.1</t>
  </si>
  <si>
    <t>งานขุดดิน</t>
  </si>
  <si>
    <t>2.1.2</t>
  </si>
  <si>
    <t>งานคอนกรีตหยาบ</t>
  </si>
  <si>
    <t>2.1.3</t>
  </si>
  <si>
    <t>2.1.4</t>
  </si>
  <si>
    <t>2.1.5</t>
  </si>
  <si>
    <t>2.1.6</t>
  </si>
  <si>
    <t>งานเหล็กเสริม</t>
  </si>
  <si>
    <t xml:space="preserve"> - ค่าแรงงานเหล็ก</t>
  </si>
  <si>
    <t xml:space="preserve"> - ลวดผูกเหล็กใช้ 2.5%</t>
  </si>
  <si>
    <t>2.1.7</t>
  </si>
  <si>
    <t>งานฐานเสาไฟฟ้าแสงสว่างและอุปกรณ์ประกอบ</t>
  </si>
  <si>
    <t>งานถางป่าขุดตอขนาดเบา</t>
  </si>
  <si>
    <t>มีเฉพาะการถากถางวัชพืชเท่านั้น</t>
  </si>
  <si>
    <t>งานถางป่าขุดตอขนาดกลาง</t>
  </si>
  <si>
    <t>มีการถากถางวัชพืช และปาดหน้าดินเดิมออกด้วย</t>
  </si>
  <si>
    <t>งานถางป่าขุดตอขนาดหนัก</t>
  </si>
  <si>
    <t>(ก) ให้อธิบายสภาพพื้นที่โดยรวมเพื่อพิจารณาขนาดของการกรุยทาง</t>
  </si>
  <si>
    <t>มีการตัดโค่นต้นไม้ ขุดตอ ถากถางวัชพืช และปาดหน้าดินเดิมออกด้วย</t>
  </si>
  <si>
    <t>คิดจากพื้นที่  1  ตร.ม.</t>
  </si>
  <si>
    <t>ปริมาตรวัสดุที่รื้อออก</t>
  </si>
  <si>
    <t>ส่วนขยาย   =   0.05 x 1.60</t>
  </si>
  <si>
    <t>( พื้นที่  1 ตร.ม. มีปริมาณ  0.08  ลบ.ม.)</t>
  </si>
  <si>
    <t xml:space="preserve">ขนทิ้ง.…………………..กม.            </t>
  </si>
  <si>
    <t xml:space="preserve">ค่าดำเนินการ + ค่าเสื่อมดันและตัก (หิน ผุ)    </t>
  </si>
  <si>
    <t xml:space="preserve">ส่วนยุบตัว </t>
  </si>
  <si>
    <t xml:space="preserve">ค่าขนส่ง </t>
  </si>
  <si>
    <t>ค่าวัสดุจากปากโม่  (รวมค่าตัก)</t>
  </si>
  <si>
    <t>[4] = [3] x 1.50</t>
  </si>
  <si>
    <t>ค่าดำเนินการ + ค่าเสื่อมราคา (ผสม)</t>
  </si>
  <si>
    <t>[7] = [4] + [5] + [6]</t>
  </si>
  <si>
    <t xml:space="preserve">  - ค่าดำเนินการและค่าเสื่อมราคางานขุดรื้อพื้นทางเดิมแล้วบดทับ</t>
  </si>
  <si>
    <t xml:space="preserve">        ผิวทาง (ขนทิ้ง)</t>
  </si>
  <si>
    <t xml:space="preserve">        ขุดรื้อหินคลุก</t>
  </si>
  <si>
    <t xml:space="preserve">        ขุดรื้อรองพื้นทาง(ลูกรัง)</t>
  </si>
  <si>
    <t xml:space="preserve">  - ค่าวัสดุหินคลุก</t>
  </si>
  <si>
    <t xml:space="preserve">  - ค่าดำเนินการ,ค่าเสื่อมราคาผสมและบดทับ (หินคลุกใหม่)</t>
  </si>
  <si>
    <t xml:space="preserve">  - ค่าดำเนินการ,ค่าเสื่อมราคาผสมและบดทับรองพื้นทาง(หินคลุกเดิม+หินคลุกใหม่)</t>
  </si>
  <si>
    <t xml:space="preserve">                รวมค่าวัสดุและค่าแรงเป็นเงิน</t>
  </si>
  <si>
    <t xml:space="preserve"> ค่าหยอดยางรอยต่อคอนกรีต</t>
  </si>
  <si>
    <t xml:space="preserve"> ค่าตัดรอยต่อคอนกรีต และหยอดยาง</t>
  </si>
  <si>
    <t>ขุดลึกเฉลี่ย 30 ซม.</t>
  </si>
  <si>
    <t>ม.</t>
  </si>
  <si>
    <t xml:space="preserve">   3.2.3(1) สูตรค่างาน Pavement In-Place Recycling </t>
  </si>
  <si>
    <t xml:space="preserve">        N  =   [ Operating Cost + AY + SC ]</t>
  </si>
  <si>
    <t xml:space="preserve">        N  =  ค่างาน Pavement In-Place Recycling</t>
  </si>
  <si>
    <t xml:space="preserve">        A  =  ปริมาณยางแอสฟัลต์</t>
  </si>
  <si>
    <t xml:space="preserve"> ตัน/ตร.ม.</t>
  </si>
  <si>
    <t xml:space="preserve">        Y  =  ราคายางแอสฟัลต์บวกค่าขนส่ง</t>
  </si>
  <si>
    <t xml:space="preserve"> บาท/ตัน</t>
  </si>
  <si>
    <t xml:space="preserve">        S  =  ปริมาณปูนซีเมนต์</t>
  </si>
  <si>
    <t xml:space="preserve">        C  =  ราคาปริมาณปูนซีเมนต์บวกค่าขนส่ง</t>
  </si>
  <si>
    <t xml:space="preserve">  3.2.3(2) ข้อมูลประกอบการคิดค่างาน</t>
  </si>
  <si>
    <t xml:space="preserve">        Operating Cost                                  =</t>
  </si>
  <si>
    <t xml:space="preserve">        ความลึกในการขุดกัด                              =</t>
  </si>
  <si>
    <t xml:space="preserve">        ปริมาณซีเมนต์ที่ใช้ (โดยน้ำหนัก)                  =</t>
  </si>
  <si>
    <t xml:space="preserve">        หน่วยน้ำหนักของวัสดุพื้นทางที่ขุดกัด             =</t>
  </si>
  <si>
    <t xml:space="preserve"> กก./ลบ.ม.</t>
  </si>
  <si>
    <t xml:space="preserve">ค่าปูนซีเมนต์ + ค่าขนส่ง                                                    </t>
  </si>
  <si>
    <t>ปริมาณปูนซีเมนต์ต่อตารางเมตร</t>
  </si>
  <si>
    <t>ค่างาน Pavement In-Place Recycling</t>
  </si>
  <si>
    <t xml:space="preserve"> บาท/ตร.ม.</t>
  </si>
  <si>
    <t>ค่าเสื่อมราคาบดทับหินคลุกปรับระดับ</t>
  </si>
  <si>
    <t>รวมค่างาน Pavement In-Place Recycling</t>
  </si>
  <si>
    <t>ขุดลึกเฉลี่ย</t>
  </si>
  <si>
    <t>(ซม.)</t>
  </si>
  <si>
    <t>ปริมาณยางแอสฟัลต์ (A)</t>
  </si>
  <si>
    <t>ปริมาณปูนซีเมนต์ (S)</t>
  </si>
  <si>
    <t>ค่ายาง CRS-2  =   0.30  ลิตร/ตร.ม.@</t>
  </si>
  <si>
    <t>การใช้อัตรายางแอสฟัลท์ในการคำนวณราคากลางสำหรับงาน Prime Coat และ Asphalt Concrete</t>
  </si>
  <si>
    <t>1.  งาน Prime Coat กำหนดแนวทาง ให้ใช้คัตแบคแอสฟัลท์หรือแอสฟัลท์อิมัลชันตามตารางที่ 1</t>
  </si>
  <si>
    <t>ตารางที่ 1</t>
  </si>
  <si>
    <t>ชนิดพื้นทาง</t>
  </si>
  <si>
    <t>อัตราการลาด Prime Coat</t>
  </si>
  <si>
    <t>อัตราที่ใช้คิดราคากลาง</t>
  </si>
  <si>
    <t>(เป็นลิตรต่อตารางเมตร)</t>
  </si>
  <si>
    <t>พื้นทางดินซีเมนต์</t>
  </si>
  <si>
    <t>0.6 – 1.0</t>
  </si>
  <si>
    <t>พื้นทางหินคลุกซีเมนต์</t>
  </si>
  <si>
    <t>พื้นทางหินคลุก</t>
  </si>
  <si>
    <t>0.8 – 1.4</t>
  </si>
  <si>
    <t xml:space="preserve">2.  งานแอสฟัลท์คอนกรีต กำหนดแนวทางให้ใช้เปอร์เซ็นต์แอสฟัลท์ซีเมนต์โดยน้ำหนักของวัสดุมวลรวมตามตารางที่ 2 </t>
  </si>
  <si>
    <t>ตารางที่ 2</t>
  </si>
  <si>
    <t>ชนิดวัสดุมวลรวม</t>
  </si>
  <si>
    <t>ปริมาณแอสฟัลท์ซีเมนต์เป็นเปอร์เซ็นต์โดยน้ำหนัก</t>
  </si>
  <si>
    <t>Asphaltic</t>
  </si>
  <si>
    <t>ของวัสดุมวลรวม</t>
  </si>
  <si>
    <t>Boundbase</t>
  </si>
  <si>
    <t>ชั้นรองผิวทาง (Binder Course)</t>
  </si>
  <si>
    <t>ชั้นผิวทาง (Wearing Couse)</t>
  </si>
  <si>
    <t>หินปูน (Limestone)</t>
  </si>
  <si>
    <t>หินแกรนิต (Granite)</t>
  </si>
  <si>
    <t>หินบะซอลต์(Basalt)</t>
  </si>
  <si>
    <t xml:space="preserve">บาท/ตัน AC                   </t>
  </si>
  <si>
    <t>……[6]……x…[19]…..x…[20]…..</t>
  </si>
  <si>
    <t>……[22]……/…[6]………..</t>
  </si>
  <si>
    <t>ตารางที่ 3  ตัวแปรค่าดำเนินการปูลาดและบดทับตามความหนา</t>
  </si>
  <si>
    <t>ตัวแปร</t>
  </si>
  <si>
    <t>พื้นที่</t>
  </si>
  <si>
    <t>ตร.ม./ตัน</t>
  </si>
  <si>
    <t>PRIME  COAT</t>
  </si>
  <si>
    <t>TACK  COAT</t>
  </si>
  <si>
    <t>Expansion  Joint</t>
  </si>
  <si>
    <t>Contraction  Joint</t>
  </si>
  <si>
    <t>Longitudinal  Joint</t>
  </si>
  <si>
    <t>Dummy  Joint</t>
  </si>
  <si>
    <t>Edge  Joint</t>
  </si>
  <si>
    <t>1.  ค่าแบบจากตารางค่าดำเนินการฯ  รวม  2  ข้างแล้ว</t>
  </si>
  <si>
    <t>3.  เหล็กเสริมผิวทางคอนกรีต</t>
  </si>
  <si>
    <t>(ม.)</t>
  </si>
  <si>
    <t>(ลบ.ม.)</t>
  </si>
  <si>
    <t>ปริมาณวัสดุยังไม่รวมส่วนสูญเสีย</t>
  </si>
  <si>
    <t>ความกว้างช่องจราจร</t>
  </si>
  <si>
    <t>Cap</t>
  </si>
  <si>
    <t>ราคาชุดละ</t>
  </si>
  <si>
    <t>@       10.-   บาท   (ประมาณ)</t>
  </si>
  <si>
    <t>Joint  Filler</t>
  </si>
  <si>
    <t>ราคาตารางเมตรละ</t>
  </si>
  <si>
    <t>@     400.-   บาท   (ประมาณ)</t>
  </si>
  <si>
    <t>Joint  Sealer</t>
  </si>
  <si>
    <t>ลิตรละ</t>
  </si>
  <si>
    <t>@       45.-   บาท   (ประมาณ)</t>
  </si>
  <si>
    <t>แผ่นพลาสติก</t>
  </si>
  <si>
    <t>เมตรละ</t>
  </si>
  <si>
    <t>(ราคาวัสดุต่าง  ๆ  ให้ตรวจสอบในท้องตลาดก่อนประเมินราคา)</t>
  </si>
  <si>
    <t>ค่าเหล็ก (RB 25)</t>
  </si>
  <si>
    <t>ตัด JOINT ลึก (ซม.)</t>
  </si>
  <si>
    <t>ทาสี + จาระบี (ชุด)</t>
  </si>
  <si>
    <t>ค่าทาสี  +  จาระบี  ที่  Dowel  Bar  @   4.-  บาท  (ประมาณ)</t>
  </si>
  <si>
    <t>[3] (จากตารางค่าดำเนินการฯ)</t>
  </si>
  <si>
    <t>หมายเหตุ     คิดจากความยาว  10  เมตร</t>
  </si>
  <si>
    <t>ค่าตัด JOINT และหยอดยาง</t>
  </si>
  <si>
    <t xml:space="preserve">หมายเหตุ     </t>
  </si>
  <si>
    <t>ค่าตัด JOINT ผิว ASPHALT CONCRETE  คิดเป็น 75% ของค่าตัด JOINT ผิว CONCRETE   และปริมาณ  JOINT   SEALER</t>
  </si>
  <si>
    <t>คิดตามความลึกที่กำหนดในแบบ</t>
  </si>
  <si>
    <t>ตารางที่ 5</t>
  </si>
  <si>
    <t>ขนาดท่อ</t>
  </si>
  <si>
    <t>จำนวน / เที่ยว</t>
  </si>
  <si>
    <t>ปริมาตรท่อ</t>
  </si>
  <si>
    <t>รวมช่องว่างภายใน</t>
  </si>
  <si>
    <t>ค่าวาง</t>
  </si>
  <si>
    <t>และกลบกลับ</t>
  </si>
  <si>
    <t>(บาท / ม.)</t>
  </si>
  <si>
    <t>BEDDING</t>
  </si>
  <si>
    <t>คิดที่ 1 ด้าน</t>
  </si>
  <si>
    <t>บาท/ด้าน</t>
  </si>
  <si>
    <t>คอนกรีต ค1</t>
  </si>
  <si>
    <t xml:space="preserve"> DB12 SD30</t>
  </si>
  <si>
    <t>ทรายหยาบบดอัดแน่น</t>
  </si>
  <si>
    <t>ฝา @</t>
  </si>
  <si>
    <t>ฝาปิดรางระบายน้ำ</t>
  </si>
  <si>
    <t>เหล็กฉาก L 50 x 50 x 6 mm.</t>
  </si>
  <si>
    <t>บาท/ฝา</t>
  </si>
  <si>
    <t xml:space="preserve">[12] = [11] </t>
  </si>
  <si>
    <t>เสาไฟฟ้าสูง 9.00  ม. พร้อมกิ่งและอุปกรณ์ฟิวส์ครบชุด</t>
  </si>
  <si>
    <t>เสาไฟฟ้า สูง 9.00 เมตร กิ่งเดียวพร้อมอุปกรณ์</t>
  </si>
  <si>
    <t>เสาไฟฟ้า สูง 9.00 เมตร กิ่งคู่พร้อมอุปกรณ์</t>
  </si>
  <si>
    <t>ต้น     @</t>
  </si>
  <si>
    <t>โคม     @</t>
  </si>
  <si>
    <t>ม.     @</t>
  </si>
  <si>
    <t>ชุด     @</t>
  </si>
  <si>
    <t>ชุดวางสายไฟฟ้า พร้อม Precast ปิดทับ</t>
  </si>
  <si>
    <t>[9] = [1] + ….. + [8]</t>
  </si>
  <si>
    <t>[10] = [11]</t>
  </si>
  <si>
    <t>Steel Plate</t>
  </si>
  <si>
    <t>Bolt</t>
  </si>
  <si>
    <t>ตัว @</t>
  </si>
  <si>
    <t>ค่าเชื่อม</t>
  </si>
  <si>
    <t>บาท/ฐาน</t>
  </si>
  <si>
    <t>[12] = [1] + .. + [11]</t>
  </si>
  <si>
    <t>โคมไฟฟ้า 250 วัตต์ ชนิด HPS พร้อมอุปกรณ์</t>
  </si>
  <si>
    <t xml:space="preserve"> - เสาไฟฟ้า สูง 9.00 เมตร กิ่งเดียวพร้อมอุปกรณ์</t>
  </si>
  <si>
    <t xml:space="preserve"> - เสาไฟฟ้า สูง 9.00 เมตร กิ่งคู่พร้อมอุปกรณ์</t>
  </si>
  <si>
    <t>ท่อร้อยสายไฟฟ้า ชนิด HDPE และอุปกรณ์ประกอบ</t>
  </si>
  <si>
    <t>ขนาดเส้นผ่านศูนย์กลาง...............มม.</t>
  </si>
  <si>
    <t>ท่อร้อยสายไฟฟ้า ชนิด RSC และอุปกรณ์ประกอบ</t>
  </si>
  <si>
    <t>ท่อร้อยสายไฟฟ้า ชนิด IMC และอุปกรณ์ประกอบ</t>
  </si>
  <si>
    <t>ท่อร้อยสายไฟฟ้า ชนิด PVC และอุปกรณ์ประกอบ</t>
  </si>
  <si>
    <t xml:space="preserve"> - ขนาดเส้นผ่านศูนย์กลาง...............มม.</t>
  </si>
  <si>
    <t>ท่อร้อยสายไฟฟ้า</t>
  </si>
  <si>
    <t>6.4.1</t>
  </si>
  <si>
    <t>6.4.2</t>
  </si>
  <si>
    <t>6.4.3</t>
  </si>
  <si>
    <t>6.4.4</t>
  </si>
  <si>
    <t>6.4.1(1)</t>
  </si>
  <si>
    <t>6.4.2(1)</t>
  </si>
  <si>
    <t>6.4.3(1)</t>
  </si>
  <si>
    <t>6.4.4(1)</t>
  </si>
  <si>
    <t xml:space="preserve">ท่อ HDPE ขนาดเส้นผ่านศูนย์กลาง  2 1/2" </t>
  </si>
  <si>
    <t>[8]   (จากบัญชีค่าแรงงานฯ)</t>
  </si>
  <si>
    <t>RB9</t>
  </si>
  <si>
    <t>DB12 SD40</t>
  </si>
  <si>
    <t>1.1.4(7) หล่อคานอัดแรง I - Girder สำหรับช่วงความยาว 20.00 - 30.00 ม.</t>
  </si>
  <si>
    <t>1.1.4(8) ติดตั้งคานอัดแรง I - Girder สำหรับช่วงความยาว 20.00 - 30.00 ม.</t>
  </si>
  <si>
    <t>1.1.4(9) งานหล่อคานขวาง รับช่วงความยาว 20.00 - 30.00 ม.</t>
  </si>
  <si>
    <t>1.2  กรณีผิวทาง อื่นๆ (ไม่ติดตั้งโรงผสมคอนกรีต)</t>
  </si>
  <si>
    <t>1.1.7(2)  ตู้ควบคุมไฟสะพานพร้อมอุปกรณ์ประกอบ</t>
  </si>
  <si>
    <t>1.1.7(3) ท่อร้อยสายไฟฟ้า</t>
  </si>
  <si>
    <t>1.1.7(3)(1) ท่อร้อยสายไฟฟ้า ชนิด HDPE และอุปกรณ์ประกอบ</t>
  </si>
  <si>
    <t>1.1.7(3)(2)ท่อร้อยสายไฟฟ้า ชนิด RSC และอุปกรณ์ประกอบ</t>
  </si>
  <si>
    <t>1.1.7(3)(3)ท่อร้อยสายไฟฟ้า ชนิด IMC และอุปกรณ์ประกอบ</t>
  </si>
  <si>
    <t>1.1.7(3)(4)ท่อร้อยสายไฟฟ้า ชนิด PVC และอุปกรณ์ประกอบ</t>
  </si>
  <si>
    <t>ค่าเหล็ก (DB 12)</t>
  </si>
  <si>
    <t>FACTOR  F  ฝนตกชุก 1</t>
  </si>
  <si>
    <t>มิถุนายน</t>
  </si>
  <si>
    <t>งานประชาสัมพันธ์โครงการเพื่อการสร้างความเข้าใจและการมีส่วนร่วมภาคประชาชน</t>
  </si>
  <si>
    <t>การเปรียบเทียบราคาวัสดุ</t>
  </si>
  <si>
    <t>1.ดินถม</t>
  </si>
  <si>
    <t>ระยะทางขนส่งถึงหน้างาน</t>
  </si>
  <si>
    <t>รวม ค่าวัสดุ+ค่าขนส่ง</t>
  </si>
  <si>
    <t>บาท/ท่อน</t>
  </si>
  <si>
    <t>ระยะทางขนส่งถึงกรุงเทพฯ</t>
  </si>
  <si>
    <t>ค่าวัสดุ - ค่าขนส่ง</t>
  </si>
  <si>
    <t xml:space="preserve"> - ดินถม ทราย ลูกรัง วัสดุคัดเลือก หิน และท่อกลม คิดค่าขนส่งโดยใช้รถบรรทุกสิบล้อ</t>
  </si>
  <si>
    <t xml:space="preserve"> - เหล็ก ปูนซีเมนต์ และ ยางแอสฟัลต์ คิดค่าขนส่งโดยใช้รถบรรทุกสิบล้อลากพ่วง</t>
  </si>
  <si>
    <t xml:space="preserve">เหล็กข้ออ้อย  SD 30  </t>
  </si>
  <si>
    <t xml:space="preserve">เหล็กข้ออ้อย  SD 40  </t>
  </si>
  <si>
    <t>Factor F ฝนตกชุก 1</t>
  </si>
  <si>
    <t xml:space="preserve">ค่าดำเนินการ+ค่าเสื่อมราคา รื้อคันทางเดิมชนิดลูกรัง หนา 10 ซม. แล้วบดทับ </t>
  </si>
  <si>
    <t>แบบ ต.28 - ต.30 , ต.62</t>
  </si>
  <si>
    <t>แบบ ต.71</t>
  </si>
  <si>
    <t>แบบ ต.72 , ต.73</t>
  </si>
  <si>
    <t>แบบ ต.65 , ต.68 , ต.70</t>
  </si>
  <si>
    <t>แบบ ต.75</t>
  </si>
  <si>
    <t>ป้าย ชุดระบุทิศทาง  (นส-1 ถึง นส-14)</t>
  </si>
  <si>
    <t>ป้าย สิ้นสุดสายทาง (น-7)</t>
  </si>
  <si>
    <t>ป้าย กรมทางหลวงชนบท (น-8)</t>
  </si>
  <si>
    <t>ป้าย บอกชื่อแม่น้ำ ลำคลอง (น-6)</t>
  </si>
  <si>
    <t>ป้าย บอกชื่อหมู่บ้าน (น-5)</t>
  </si>
  <si>
    <t>แบบ บ + ต  (บ.3 - บ.55 + ต.1 - ต.27 , บ.3 - บ.55 + ต.31 - ต.60)</t>
  </si>
  <si>
    <t>แบบ ต + ต  (ต.1 - ต.27 + ต.74 ,ต.31 - ต.60 + ต.74)</t>
  </si>
  <si>
    <t>แบบ ต + ต  (ต.1 - ต.27 + ต.75 - ต.76 ,ต.31 - ต.60 + ต.75 - ต.76)</t>
  </si>
  <si>
    <t>แบบ ต + ต  (ต.1 - ต.27 + ต.77 ,ต.31 - ต.60 + ต.77)</t>
  </si>
  <si>
    <t>แบบ ต + ต  (ต.1 - ต.27 + ต.78 ,ต.31 - ต.60 + ต.78)</t>
  </si>
  <si>
    <t>งานป้ายจราจร  ใช้แผ่นสะท้อนแสงตาม มาตรฐาน มอก.606</t>
  </si>
  <si>
    <t>เบา</t>
  </si>
  <si>
    <t>กลาง</t>
  </si>
  <si>
    <t>หนัก</t>
  </si>
  <si>
    <t>พิจารณาตามสภาพพื้นที่</t>
  </si>
  <si>
    <t>Cape Seal = Single Surface Treatment + Fog Spray + Slurry Seal</t>
  </si>
  <si>
    <t xml:space="preserve">                   = Chip Seal + Fog Spray + Slurry Seal</t>
  </si>
  <si>
    <t>ค่าวัสดุหิน 1/2" จากแหล่ง</t>
  </si>
  <si>
    <t>ปริมาณหิน 1/2" = 0.01286 ลบ.ม./ตร.ม.</t>
  </si>
  <si>
    <t>[4] = [3] x 0.01286</t>
  </si>
  <si>
    <t>ค่ายาง CRS-2 จากแหล่ง</t>
  </si>
  <si>
    <t>[6] (จากตารางค่าขนส่ง)</t>
  </si>
  <si>
    <t>ปริมาณยาง CRS-2 = 0.00123 ตัน/ตร.ม.</t>
  </si>
  <si>
    <t>[8] = [7] x 0.00123</t>
  </si>
  <si>
    <t>ระยะทางปูผิว</t>
  </si>
  <si>
    <t>คิดระยะ L/4</t>
  </si>
  <si>
    <t>ค่าขนส่งวัสดุผสม</t>
  </si>
  <si>
    <t>(จำนวนเต็ม)</t>
  </si>
  <si>
    <t>ปริมาณวัสดุผสม = 0.01222 ลบ.ม./ตร.ม.</t>
  </si>
  <si>
    <t>คิดเป็นค่าขนส่ง</t>
  </si>
  <si>
    <t>[11] = [10] x 0.01222</t>
  </si>
  <si>
    <t>ค่าดำเนินการ + ค่าเสื่อมราคา งานผิวทางแบบบาง ชั้นเดียว (1/2")</t>
  </si>
  <si>
    <t>[12] (จากตารางค่าดำเนินการ)</t>
  </si>
  <si>
    <t>[13] = [4] + [8] + [11] + [12]</t>
  </si>
  <si>
    <t>[14]</t>
  </si>
  <si>
    <t>ค่างานต้นทุน CHIP SEAL</t>
  </si>
  <si>
    <t>ค่างานต้นทุน FOG SPRAY</t>
  </si>
  <si>
    <t>ค่ายาง CSS-1h จากแหล่ง</t>
  </si>
  <si>
    <t>[15]</t>
  </si>
  <si>
    <t>[17] = [15] + [16]</t>
  </si>
  <si>
    <t>ค่าแอสฟัลท์ซีเมนต์ (CSS-1h)  0.00031 ตัน/ตร.ม.</t>
  </si>
  <si>
    <t>คิดเป็น</t>
  </si>
  <si>
    <t>[18] = [17] x 0.00031</t>
  </si>
  <si>
    <t>ค่าดำเนินการ + ค่าเสื่อมราคางาน FOG SPRAY</t>
  </si>
  <si>
    <t>[19] (จากตารางค่าดำเนินการ)</t>
  </si>
  <si>
    <t>[20] = [18] + [19]</t>
  </si>
  <si>
    <t>[21]</t>
  </si>
  <si>
    <t>[16] (จากตารางค่าขนส่ง)</t>
  </si>
  <si>
    <t>ค่างานต้นทุน SLURRY SEAL</t>
  </si>
  <si>
    <t>ค่าวัสดุหินฝุ่นจากแหล่ง</t>
  </si>
  <si>
    <t>[22]</t>
  </si>
  <si>
    <t>[23] (จากตารางค่าขนส่ง)</t>
  </si>
  <si>
    <t>[24] = [22] + [23]</t>
  </si>
  <si>
    <t>คิดราคาหินฝุ่นปริมาณ =  1.2155 ลบ.ม.</t>
  </si>
  <si>
    <t>[25] = [24] x 1.2155</t>
  </si>
  <si>
    <t>ค่ายางอิมัลชั่นแอสฟัลท์ (CSS-1h)</t>
  </si>
  <si>
    <t>[26]</t>
  </si>
  <si>
    <t>[27] (จากตารางค่าขนส่ง)</t>
  </si>
  <si>
    <t>[28] = [26] + [27]</t>
  </si>
  <si>
    <t>คิดราคายาง CSS-1h ปริมาณ =  0.25779 ตัน</t>
  </si>
  <si>
    <t>[29] = [28] x 0.25779</t>
  </si>
  <si>
    <t>[30]</t>
  </si>
  <si>
    <t>[31]</t>
  </si>
  <si>
    <t>ปริมาณวัสดุผสม = 1.85 ลบ.ม.</t>
  </si>
  <si>
    <t>[32] = [31] x 1.85</t>
  </si>
  <si>
    <t>[33]</t>
  </si>
  <si>
    <t>[34] (จากตารางค่าขนส่ง)</t>
  </si>
  <si>
    <t>[35] = [33] + [34]</t>
  </si>
  <si>
    <t>คิดราคาปูนซีเมนต์ที่ปริมาณ 0.01450 ตัน</t>
  </si>
  <si>
    <t>[36] = [35] x 0.01450</t>
  </si>
  <si>
    <t>ปูนซีเมนต์</t>
  </si>
  <si>
    <t>[37]</t>
  </si>
  <si>
    <t>ค่าน้ำผสมปูนซีเมนต์ (ไม่คิดค่าใช้จ่ายยกเว้นกรณีขาดแคลนน้ำ)</t>
  </si>
  <si>
    <t>คิดราคาน้ำที่ปริมาณ 0.15961 ลบ.ม.</t>
  </si>
  <si>
    <t>[38] = [37] x 0.15961</t>
  </si>
  <si>
    <t>[39] = [25] + [29] + [32] + [36] + [38]</t>
  </si>
  <si>
    <t>คิดค่าใช้จ่ายรวมต่อตร.ม.</t>
  </si>
  <si>
    <t>ค่าดำเนินการ + ค่าเสื่อมราคางาน SLURRY SEAL</t>
  </si>
  <si>
    <t>[41] (จากตารางค่าดำเนินการ)</t>
  </si>
  <si>
    <t>[40] = [39] / 182</t>
  </si>
  <si>
    <t>[42] = [40] + [41]</t>
  </si>
  <si>
    <t>ค่างานต้นทุน Cape Seal</t>
  </si>
  <si>
    <t>[43] = [14] + [21] + [42]</t>
  </si>
  <si>
    <t xml:space="preserve">ความหนา </t>
  </si>
  <si>
    <t xml:space="preserve"> ซม.(ปูบน PRIME COAT)</t>
  </si>
  <si>
    <t xml:space="preserve"> ซม.(ปูบน TACK COAT)</t>
  </si>
  <si>
    <t xml:space="preserve"> ซม. (ปูบน PRIME COAT)</t>
  </si>
  <si>
    <t xml:space="preserve"> ซม. (ปูบน TACK COAT)</t>
  </si>
  <si>
    <t>หมายเหตุ กรณีที่ปริมาณงานรวมของ AC ทุกรายการน้อยกว่า 10,000 ตัน ให้ใช่ค่าติดตั้งเครื่องผสมสำหรับปริมาณงาน AC ที่ 10,000 ตัน ในการประเมินราคา</t>
  </si>
  <si>
    <t>งานผิวทางและไหล่ทางคอนกรีตเสริมเหล็ก  ความหนา</t>
  </si>
  <si>
    <t>SLAB THICKNESS (CM.)</t>
  </si>
  <si>
    <t>LONGITUDINAL REINFORCEMENT</t>
  </si>
  <si>
    <t>เหล็กเส้นกลม SR24 (fs=1,200 ksc)</t>
  </si>
  <si>
    <t>Dia./Spacing</t>
  </si>
  <si>
    <t>Steel Area (Sq.mm/m)</t>
  </si>
  <si>
    <t>Minimum Equivalent Steel Area of Wire Mesh (fs=2,750 ksc) (Sq.mm/m)</t>
  </si>
  <si>
    <t>LANE WIDTH (M)</t>
  </si>
  <si>
    <t>TRANSVERSE REINFORCEMENT</t>
  </si>
  <si>
    <t>≤ 3.00</t>
  </si>
  <si>
    <t>RB6 @ 0.30</t>
  </si>
  <si>
    <t>RB6 @ 0.25</t>
  </si>
  <si>
    <t>RB6 @ 0.20</t>
  </si>
  <si>
    <t>RB6 @ 0.15</t>
  </si>
  <si>
    <t>RB9 @ 0.20</t>
  </si>
  <si>
    <t>9 @ 0.25 m.</t>
  </si>
  <si>
    <t>9 @ 0.23 m.</t>
  </si>
  <si>
    <t>9 @ 0.20 m.</t>
  </si>
  <si>
    <t>9 @ 0.18 m.</t>
  </si>
  <si>
    <t>9 @ 0.15 m.</t>
  </si>
  <si>
    <t>RB9 @ 0.40</t>
  </si>
  <si>
    <t>RB9 @ 0.35</t>
  </si>
  <si>
    <t>RB9 @ 0.30</t>
  </si>
  <si>
    <t>RB9 @ 0.25</t>
  </si>
  <si>
    <t>ความหนาผิวทางคอนกรีต</t>
  </si>
  <si>
    <t>คิดเป็นปริมาณคอนกรีต</t>
  </si>
  <si>
    <t>ค่าขนส่ง ( คิดที่ระยะไม่เกิน(L/4) )</t>
  </si>
  <si>
    <t>ประเภท</t>
  </si>
  <si>
    <t>เหล็กกลม RB</t>
  </si>
  <si>
    <t>ระยะห่าง</t>
  </si>
  <si>
    <t>ตาราง TEMPERATURE STEEL (แบบมาตรฐานทางหลวงชนบท เลขที่ ถน-203/56)</t>
  </si>
  <si>
    <t>ปริมาณเหล็ก</t>
  </si>
  <si>
    <t>มม.</t>
  </si>
  <si>
    <t>Longitudinal Reinforcement</t>
  </si>
  <si>
    <t>ขนาดเหล็ก RB</t>
  </si>
  <si>
    <t>น้ำหนัก</t>
  </si>
  <si>
    <t>กก./ม.</t>
  </si>
  <si>
    <t>Thickness</t>
  </si>
  <si>
    <t>ความกว้าง</t>
  </si>
  <si>
    <t>ประเภทที่</t>
  </si>
  <si>
    <t>กก.  @</t>
  </si>
  <si>
    <t>- เหล็กเสริมตามขวาง RB</t>
  </si>
  <si>
    <t>- เหล็กเสริมตามยาว   RB</t>
  </si>
  <si>
    <t>fc' = 325 ksc (cube)</t>
  </si>
  <si>
    <t>DOWEL BAR (กก.)</t>
  </si>
  <si>
    <t>METAL CAP (ชุด)</t>
  </si>
  <si>
    <t>JOINT FILLER (ตร.ม.)</t>
  </si>
  <si>
    <t>JOINT SEALER (ลิตร)</t>
  </si>
  <si>
    <t>แผ่นพลาสติก (ตร.ม.)</t>
  </si>
  <si>
    <t>ไม้แบบ   (ตร.ม.)</t>
  </si>
  <si>
    <t>DOWEL BAR RB25 (กก.)</t>
  </si>
  <si>
    <t>ทาสี+จาระบี (ชุด)</t>
  </si>
  <si>
    <t>ความหนาคอนกรีต (ซม.)</t>
  </si>
  <si>
    <t>TIE BAR (กก.)</t>
  </si>
  <si>
    <t>D</t>
  </si>
  <si>
    <t>Do</t>
  </si>
  <si>
    <t>Thk</t>
  </si>
  <si>
    <t>Hl</t>
  </si>
  <si>
    <t>Hc</t>
  </si>
  <si>
    <t>excavation</t>
  </si>
  <si>
    <t>H</t>
  </si>
  <si>
    <t>W</t>
  </si>
  <si>
    <t>Ws</t>
  </si>
  <si>
    <t>sand filling</t>
  </si>
  <si>
    <t>lean concrete</t>
  </si>
  <si>
    <t>joint sealer</t>
  </si>
  <si>
    <t>(ความสูงของดินบนหลังท่อไม่เกินกว่า 3.00 ม. : แบบมาตรฐานทางหลวงชนบท เลขที่ รน-101/56)</t>
  </si>
  <si>
    <t>Ø 0.30</t>
  </si>
  <si>
    <t>Ø 0.40</t>
  </si>
  <si>
    <t>Ø 0.50</t>
  </si>
  <si>
    <t>Ø 0.60</t>
  </si>
  <si>
    <t>Ø 0.80</t>
  </si>
  <si>
    <t>Ø 1.00</t>
  </si>
  <si>
    <t>Ø 1.20</t>
  </si>
  <si>
    <t>Ø 1.50</t>
  </si>
  <si>
    <t>ท่อลอดกลม คสล. ขนาด Ø 1.20 เมตร</t>
  </si>
  <si>
    <t>ท่อลอดกลม คสล. ขนาด Ø 1.00 เมตร</t>
  </si>
  <si>
    <t>ท่อลอดกลม คสล. ขนาด Ø 0.80 เมตร</t>
  </si>
  <si>
    <t>ท่อลอดกลม คสล. ขนาด Ø 0.60 เมตร</t>
  </si>
  <si>
    <t>ท่อลอดกลม คสล. ขนาด Ø 0.40 เมตร</t>
  </si>
  <si>
    <t>สำหรับท่อกลมขนาด  2 แถว  - Ø  0.40  เมตร</t>
  </si>
  <si>
    <t>สำหรับท่อกลมขนาด  3 แถว  - Ø  0.40  เมตร</t>
  </si>
  <si>
    <t>จำนวนแถว - ขนาดท่อ</t>
  </si>
  <si>
    <t>1 แถว - Ø 0.40 เมตร</t>
  </si>
  <si>
    <t>1 แถว - Ø 0.60 เมตร</t>
  </si>
  <si>
    <t>1 แถว - Ø 0.80 เมตร</t>
  </si>
  <si>
    <t>งานดินขุด</t>
  </si>
  <si>
    <t>สำหรับท่อกลมขนาด</t>
  </si>
  <si>
    <t>2 แถว - Ø 0.40 เมตร</t>
  </si>
  <si>
    <t>2 แถว - Ø 0.60 เมตร</t>
  </si>
  <si>
    <t>2 แถว - Ø 0.80 เมตร</t>
  </si>
  <si>
    <t>3 แถว - Ø 0.40 เมตร</t>
  </si>
  <si>
    <t>3 แถว - Ø 0.60 เมตร</t>
  </si>
  <si>
    <t>3 แถว - Ø 0.80 เมตร</t>
  </si>
  <si>
    <t>1 แถว - Ø 1.00 เมตร</t>
  </si>
  <si>
    <t>1 แถว - Ø 1.20 เมตร</t>
  </si>
  <si>
    <t>2 แถว - Ø 1.00 เมตร</t>
  </si>
  <si>
    <t>2 แถว - Ø 1.20 เมตร</t>
  </si>
  <si>
    <t>3 แถว - Ø 1.00 เมตร</t>
  </si>
  <si>
    <t>3 แถว - Ø 1.20 เมตร</t>
  </si>
  <si>
    <t>ตารางแสดงขนาดต่างๆ ของกำแพง ค.ส.ล. กันน้ำกัดเซาะที่ปลายท่อระบายน้ำ</t>
  </si>
  <si>
    <t>T (ซม.)</t>
  </si>
  <si>
    <t>ท่อแถวเดียว</t>
  </si>
  <si>
    <t>B (ซม.)</t>
  </si>
  <si>
    <t>L (ซม.)</t>
  </si>
  <si>
    <t>2 แถว</t>
  </si>
  <si>
    <t>3 แถว</t>
  </si>
  <si>
    <t>ท่อหลายแถว</t>
  </si>
  <si>
    <t>D (ม.)</t>
  </si>
  <si>
    <t>θ</t>
  </si>
  <si>
    <t>กำหนดให้ θ = 30° เป็นมุมที่กำแพง ค.ส.ล. กันน้ำเซาะเอียงกับแนวราบ</t>
  </si>
  <si>
    <t>ค่าขนส่งท่อคิดจากการขนโดยรถบรรทุก 10 ล้อ เที่ยวละ 13 ตัน</t>
  </si>
  <si>
    <t>ค่าขนท่อขึ้น - ลง คิดเที่ยวละ</t>
  </si>
  <si>
    <t>ค่าขนส่ง / เที่ยว</t>
  </si>
  <si>
    <t>+</t>
  </si>
  <si>
    <t>บาท/เที่ยวค่าขนส่ง</t>
  </si>
  <si>
    <t>RB 9</t>
  </si>
  <si>
    <t>DB 12</t>
  </si>
  <si>
    <t>Dimension Ellipse</t>
  </si>
  <si>
    <t>a</t>
  </si>
  <si>
    <t>b</t>
  </si>
  <si>
    <t>Area</t>
  </si>
  <si>
    <t>คิดที่ความยาว</t>
  </si>
  <si>
    <t>T</t>
  </si>
  <si>
    <t>M</t>
  </si>
  <si>
    <t>B</t>
  </si>
  <si>
    <t>soil removal</t>
  </si>
  <si>
    <t>concrete</t>
  </si>
  <si>
    <t>formwork</t>
  </si>
  <si>
    <t>reinforcement</t>
  </si>
  <si>
    <t>gravel</t>
  </si>
  <si>
    <t>ลิตร</t>
  </si>
  <si>
    <t>แบบมาตรฐานทางหลวงชนบท เลขที่ สพ.0902/56</t>
  </si>
  <si>
    <t>คิดจากความกว้าง</t>
  </si>
  <si>
    <t>ความยาว</t>
  </si>
  <si>
    <t>ม. ดังนั้น พิจารณาจากพี้นที่</t>
  </si>
  <si>
    <t>thk.</t>
  </si>
  <si>
    <t>area</t>
  </si>
  <si>
    <t>m</t>
  </si>
  <si>
    <t>rebar</t>
  </si>
  <si>
    <t>DB12</t>
  </si>
  <si>
    <t>DB16</t>
  </si>
  <si>
    <t>DB20</t>
  </si>
  <si>
    <t>RB25</t>
  </si>
  <si>
    <t>DB25</t>
  </si>
  <si>
    <t>top</t>
  </si>
  <si>
    <t>bottom</t>
  </si>
  <si>
    <t>spiral</t>
  </si>
  <si>
    <t>extra</t>
  </si>
  <si>
    <t>dowel bridge</t>
  </si>
  <si>
    <t>dowel long</t>
  </si>
  <si>
    <t>dowel lat</t>
  </si>
  <si>
    <t>kg</t>
  </si>
  <si>
    <t>total</t>
  </si>
  <si>
    <t>steel plate</t>
  </si>
  <si>
    <t>sand</t>
  </si>
  <si>
    <t>แผ่นยางรองคาน</t>
  </si>
  <si>
    <t>RB  9 SR24</t>
  </si>
  <si>
    <t>RB25 SR24</t>
  </si>
  <si>
    <t>DB16 SD40</t>
  </si>
  <si>
    <t>DB20 SD40</t>
  </si>
  <si>
    <t>DB25 SD40</t>
  </si>
  <si>
    <t>ทรายบดอัดแน่น</t>
  </si>
  <si>
    <t>[4] (จากตารางบัญชีค่าแรงงานฯ ข้อ 10)</t>
  </si>
  <si>
    <t>[1] (จากตารางบัญชีค่าแรงงานฯ ข้อ 3)</t>
  </si>
  <si>
    <t>แผ่นยางรองคานสะพาน ขนาด 100 x 15 x 1 ซม.</t>
  </si>
  <si>
    <t>[10] (จากบัญชีค่าแรงงานฯ)</t>
  </si>
  <si>
    <t>[16]</t>
  </si>
  <si>
    <t>[17] = [2] + ….. + [11]</t>
  </si>
  <si>
    <t>[18] = [17] / [1]</t>
  </si>
  <si>
    <t>[18] = [19]</t>
  </si>
  <si>
    <t>งานก่อสร้างสะพานที่ กม.</t>
  </si>
  <si>
    <t>ถึง กม.</t>
  </si>
  <si>
    <t xml:space="preserve">เมตร ความยาว </t>
  </si>
  <si>
    <t xml:space="preserve">ความกว้าง </t>
  </si>
  <si>
    <t>ประมาณราคาวันที่</t>
  </si>
  <si>
    <t>ทางเท้ากว้างข้างละ</t>
  </si>
  <si>
    <t>1.1.4(4) ป้ายชื่อสะพาน ชนิดหินออ่นสีดำ ขนาด 0.25 x 0.85 เมตร</t>
  </si>
  <si>
    <t>งานท่อลอดเหลี่ยมที่  กม.</t>
  </si>
  <si>
    <t>ขนาด</t>
  </si>
  <si>
    <t>บาท/ต้น</t>
  </si>
  <si>
    <t>เหล็กแผ่น 80 x 9 มม.</t>
  </si>
  <si>
    <t>Concrete</t>
  </si>
  <si>
    <t>ค่าตอกเสาเข็มคอนกรีต</t>
  </si>
  <si>
    <t>ยาว</t>
  </si>
  <si>
    <t>บาท/ต้น (จากบัญชีค่าแรงงานฯ)</t>
  </si>
  <si>
    <t>ค่าสกัดเสาเข็มคอนกรีต</t>
  </si>
  <si>
    <t>ค่าตอกเสาเข็ม คอร. ขนาด 0.40 x 0.40 ม.</t>
  </si>
  <si>
    <t>ค่าสกัดเสาเข็ม คอร. ขนาด 0.40 x 0.40 ม.</t>
  </si>
  <si>
    <t>1.1.1(1) เสาเข็ม ขนาด 0.40 ม. x 0.40 ม. ความยาว</t>
  </si>
  <si>
    <t>1.2.2(1) ตอม่อตับริมแบบ ช่วง 00.00 ม. และ ช่วง 24.00 ม.(P)</t>
  </si>
  <si>
    <t>1.2.2(2) ตอม่อตับกลางแบบ ช่วง 8.00 + 16.00 ม.(P)</t>
  </si>
  <si>
    <t>[9]  (จากบัญชีค่าแรงงานฯ)</t>
  </si>
  <si>
    <t>Steel Plate 80 x 9 mm.</t>
  </si>
  <si>
    <t>ระยะขนส่ง</t>
  </si>
  <si>
    <t>แหล่งวัสดุ</t>
  </si>
  <si>
    <t>รวมราคา</t>
  </si>
  <si>
    <t>ราคาต่ำสุด</t>
  </si>
  <si>
    <t>ใช้ราคาดินถม</t>
  </si>
  <si>
    <t>2.ทรายถม</t>
  </si>
  <si>
    <t>บ้านโล๊ะจังกระ อ.ตะโหมด จ.พัทลุง</t>
  </si>
  <si>
    <t>บ้านพูด อ.ป่าบอน จ.พัทลุง</t>
  </si>
  <si>
    <t>คลองทรายขาว อ.กงหรา จ.พัทลุง</t>
  </si>
  <si>
    <t>บ้านคู อ.กงหรา จ.พัทลุง</t>
  </si>
  <si>
    <t>คลองลำ อ.เมือง จ.พัทลุง</t>
  </si>
  <si>
    <t>ใช้ราคาทรายถม</t>
  </si>
  <si>
    <t>3.ทรายหยาบ</t>
  </si>
  <si>
    <t>ใช้ราคาทรายหยาบ</t>
  </si>
  <si>
    <t>4.ทรายละเอียด</t>
  </si>
  <si>
    <t>ใช้ราคาทรายละเอียด</t>
  </si>
  <si>
    <t>5.ลูกรัง</t>
  </si>
  <si>
    <t>บ้านห้วยศรีเกษร อ.ป่าพะยอม จ.พัทลุง</t>
  </si>
  <si>
    <t>บ้านดอนประดู่ อ.ปากพะยูน จ.พัทลุง</t>
  </si>
  <si>
    <t>บ้านแหลมดินสอ อ.ปากพะยูน จ.พัทลุง</t>
  </si>
  <si>
    <t>บ้านควนหัวช้าง อ.ป่าบอน จ.พัทลุง</t>
  </si>
  <si>
    <t>บ้านเกาะหมาก อ.ปากพะยูน จ.พัทลุง</t>
  </si>
  <si>
    <t>กฤษณ์ศิลาพร ม.5 ต.พนมวังก์ อ.ควนขนุน จ.พัทลุง</t>
  </si>
  <si>
    <t>บริษัท คูหาสวรรค์คอนกรีตพัทลุง จำกัด</t>
  </si>
  <si>
    <t>เหล็กกลม  SR 24</t>
  </si>
  <si>
    <t>สถานที่ก่อสร้าง</t>
  </si>
  <si>
    <t>ประมาณราคา</t>
  </si>
  <si>
    <t>เหล็กข้ออ้อย  SD 30  ( รวมค่าขนขึ้น-ลง )</t>
  </si>
  <si>
    <t>เหล็กกลม SR 24 ( รวมค่าขนขึ้น-ลง )</t>
  </si>
  <si>
    <t xml:space="preserve"> - ชนิดเส้นเดี่ยว (PC WIRE) ศก. 4, 5, 7, 9 มม.</t>
  </si>
  <si>
    <t xml:space="preserve"> - ชนิดตีเกลียว (PC STRAND) 7 เส้น ศก. 3/8 นิ้ว และ 1/2 นิ้ว</t>
  </si>
  <si>
    <t>สำนักงานพาณิชย์ จังหวัดพัทลุง</t>
  </si>
  <si>
    <t>PC WIRE</t>
  </si>
  <si>
    <t>PC STRAND</t>
  </si>
  <si>
    <t xml:space="preserve"> - ปูนซีเมนต์ปอร์ตแลนด์</t>
  </si>
  <si>
    <t xml:space="preserve"> - ปูนซีเมนต์ผสม</t>
  </si>
  <si>
    <t>ขนาด ศก. 4.0 มม.</t>
  </si>
  <si>
    <t xml:space="preserve"> - 0.20 x 0.20</t>
  </si>
  <si>
    <t xml:space="preserve"> - 0.15 x 0.15</t>
  </si>
  <si>
    <t>ขนาด ศก. 6.0 มม.</t>
  </si>
  <si>
    <t xml:space="preserve"> - ขนาดตาราง 0.20 x 0.20 ม.</t>
  </si>
  <si>
    <t xml:space="preserve"> - ขนาดตาราง 0.15 x 0.15 ม.</t>
  </si>
  <si>
    <t>ตะปู ขนาด 3 นิ้ว</t>
  </si>
  <si>
    <t>เหล็กตะแกรง WIRE MESH ศก. 4.0 มม. ( รวมค่าขนขึ้นลง )</t>
  </si>
  <si>
    <t>เหล็กตะแกรง WIRE MESH ศก. 6.0 มม. ( รวมค่าขนขึ้นลง )</t>
  </si>
  <si>
    <t>ท่อกลม คสล. คุณภาพชั้น 3</t>
  </si>
  <si>
    <t>12.2.ร้าน</t>
  </si>
  <si>
    <t>ห้างหุ้นส่วนจำกัด ฉัตรชัยตรังคอนกรีต</t>
  </si>
  <si>
    <t>ร้านไม้ทุ่งคายโรงไม้</t>
  </si>
  <si>
    <t>บาท/ลบ.ฟ.</t>
  </si>
  <si>
    <t>ลบ.ฟ.</t>
  </si>
  <si>
    <t>ลบ.ม.  (จากตารางค่าดำเนินการฯ)</t>
  </si>
  <si>
    <t>บาท/ตับ</t>
  </si>
  <si>
    <t xml:space="preserve"> RB6 SR24</t>
  </si>
  <si>
    <t xml:space="preserve"> RB9 SR24</t>
  </si>
  <si>
    <t>[12] = [1] + ….. + [11]</t>
  </si>
  <si>
    <t xml:space="preserve">[13] = [12] </t>
  </si>
  <si>
    <t>[12]  = [1] + ….. + [11]</t>
  </si>
  <si>
    <t>บาท/คาน</t>
  </si>
  <si>
    <t>[9] (จากบัญชีค่าแรงงานฯ)</t>
  </si>
  <si>
    <t xml:space="preserve">[5] </t>
  </si>
  <si>
    <t>[6]   (จากบัญชีค่าแรงงานฯ)</t>
  </si>
  <si>
    <t>[9] = [7] / [1]</t>
  </si>
  <si>
    <t xml:space="preserve">[8] </t>
  </si>
  <si>
    <t>[11] = [2] + ….. + [10]</t>
  </si>
  <si>
    <t>[12] = [11] / [1]</t>
  </si>
  <si>
    <t>ค่างานต้นทุนทั้งหมด</t>
  </si>
  <si>
    <t>Factor F ขั้นต่ำ</t>
  </si>
  <si>
    <t>Factor F ขั้นสูง</t>
  </si>
  <si>
    <t>ค่างานต้นทุนกว่า</t>
  </si>
  <si>
    <t>Rate ต้นทุนขั้นต่ำ</t>
  </si>
  <si>
    <t>Rate ต้นทุนขั้นสูง</t>
  </si>
  <si>
    <t>Factor F สำหรับงานสะพานและท่อเหลี่ยม</t>
  </si>
  <si>
    <t>Factor F สำหรับงานสะพานและท่อเหลี่ยม =</t>
  </si>
  <si>
    <t>ระยะทางรวม</t>
  </si>
  <si>
    <t>SIDE SLOPE</t>
  </si>
  <si>
    <t>:</t>
  </si>
  <si>
    <t xml:space="preserve">1.) ชั้นวัสดุคัดเลือก หนา   </t>
  </si>
  <si>
    <t>2.) ชั้นรองพื้นทาง   หนา</t>
  </si>
  <si>
    <t>3.) ชั้นพื้นทาง    หนา</t>
  </si>
  <si>
    <t>ปริมาณงาน  ดินตัด, ดินถม, งานกรุงทางถางป่าขุดตอ, งานปรับเกลี่ยแต่งและบดอัดคันทางเดิม,งานรองพื้นทาง, งานพื้นทาง, งานPrime  Coat, งานผิวทาง, งานไหล่ทาง</t>
  </si>
  <si>
    <t>CHECK</t>
  </si>
  <si>
    <t>STA.</t>
  </si>
  <si>
    <t>Cut</t>
  </si>
  <si>
    <t>Fill</t>
  </si>
  <si>
    <t>ผิวทางกว้าง</t>
  </si>
  <si>
    <t>ไหล่ทางกว้าง</t>
  </si>
  <si>
    <t>รวมผิว+ไหล่ทาง</t>
  </si>
  <si>
    <t>งานชั้นวัสดุคัดเลือก</t>
  </si>
  <si>
    <t>งานถางป่ากรุยทาง</t>
  </si>
  <si>
    <t>งานปรับเกลียแต่งและบดอัดคันทางเดิม</t>
  </si>
  <si>
    <t>งานรองพื้นทางลูกรัง</t>
  </si>
  <si>
    <t>งานชั้นพื้นทาง</t>
  </si>
  <si>
    <t>งานผิวทาง</t>
  </si>
  <si>
    <t>งานไหล่ทาง</t>
  </si>
  <si>
    <t>ข้างละ ม.</t>
  </si>
  <si>
    <t>ผิวบน</t>
  </si>
  <si>
    <t>ผิวล่าง</t>
  </si>
  <si>
    <t>พท.</t>
  </si>
  <si>
    <t xml:space="preserve">งานดินถมจากดินตัด คิด </t>
  </si>
  <si>
    <t>งานดินถมจากแหล่งนอกโครงการ</t>
  </si>
  <si>
    <t>(ปริมาณดินตัดธรรมชาติ x ส่วนขยาย 1.25  /  1.6) x เปอร์เซ็นต์ที่ใช้)</t>
  </si>
  <si>
    <t>รองพื้นทาง</t>
  </si>
  <si>
    <t>ผิวทาง</t>
  </si>
  <si>
    <t>สะพาน</t>
  </si>
  <si>
    <t>ระยะทางก่อสร้างถนน</t>
  </si>
  <si>
    <t>ถางป่าและขุดตอ</t>
  </si>
  <si>
    <t>ประเภทงานสะพานและท่อเหลี่ยม</t>
  </si>
  <si>
    <t>ปรับเกลี่ยและบดอัด</t>
  </si>
  <si>
    <t>offset</t>
  </si>
  <si>
    <t>m.</t>
  </si>
  <si>
    <t>คันเดิมกว้าง</t>
  </si>
  <si>
    <t>ดินตัด</t>
  </si>
  <si>
    <t>งบจัดสรร</t>
  </si>
  <si>
    <t>งบประมาณที่ประเมินได้</t>
  </si>
  <si>
    <t>ดินถมจากดินตัด</t>
  </si>
  <si>
    <t>ดินถมจากแหล่ง</t>
  </si>
  <si>
    <t>งานทรายรองใต้ผิวจราจร</t>
  </si>
  <si>
    <t>ความกว้างผิวจราจร</t>
  </si>
  <si>
    <t>Asphaltic Concrete</t>
  </si>
  <si>
    <t>( หินคลุกหนา</t>
  </si>
  <si>
    <t>ซม. )</t>
  </si>
  <si>
    <t>รวมค่างานอำนวยการ</t>
  </si>
  <si>
    <t>งานสีเทอร์โมพลาติก</t>
  </si>
  <si>
    <t>สีเหลืองทึบ</t>
  </si>
  <si>
    <t>สีเหลืองประ</t>
  </si>
  <si>
    <t>ก่อสร้าง TAPER จาก</t>
  </si>
  <si>
    <t>ม. เป็นกว้าง</t>
  </si>
  <si>
    <t>ม.   ยาว</t>
  </si>
  <si>
    <t>ลงชื่อ</t>
  </si>
  <si>
    <t>ประมาณราคางานก่อสร้าง</t>
  </si>
  <si>
    <t>Cape Seal</t>
  </si>
  <si>
    <t>กุมภาพันธ์</t>
  </si>
  <si>
    <t>ชื่อสายทาง</t>
  </si>
  <si>
    <t>กรณีที่งานดินตัดมากกว่างานดินถม จะเหลืองานดินตัดปริมาณ</t>
  </si>
  <si>
    <t>ผิวสะพานเดิม กว้าง</t>
  </si>
  <si>
    <t>ม.           ยาว</t>
  </si>
  <si>
    <t>ม.      จำนวน</t>
  </si>
  <si>
    <t>รวมความยาว Taper</t>
  </si>
  <si>
    <t>จำนวนช่อง (cell)</t>
  </si>
  <si>
    <t>ขนาดท่อลอดเหลี่ยม</t>
  </si>
  <si>
    <t>1.50 x 1.50</t>
  </si>
  <si>
    <t>1.80 x 1.80</t>
  </si>
  <si>
    <t>2.10 x 2.10</t>
  </si>
  <si>
    <t>2.40 x 2.40</t>
  </si>
  <si>
    <t>1.20 x 1.20</t>
  </si>
  <si>
    <t>งานไม้แบบ (3)</t>
  </si>
  <si>
    <t xml:space="preserve"> - ขนาด RB 6 มม. ( SR24 )</t>
  </si>
  <si>
    <t xml:space="preserve"> - ขนาด RB 9 มม. ( SR24 )</t>
  </si>
  <si>
    <t xml:space="preserve"> - ขนาด DB 12 มม. ( SD40 )</t>
  </si>
  <si>
    <t xml:space="preserve"> - ขนาด DB 16 มม. ( SD40 )</t>
  </si>
  <si>
    <t xml:space="preserve"> - ขนาด DB 20 มม. ( SD40 )</t>
  </si>
  <si>
    <t xml:space="preserve"> - ขนาด DB 25 มม. ( SD40 )</t>
  </si>
  <si>
    <t xml:space="preserve"> - ขนาด RB 25 มม. ( SR24 )</t>
  </si>
  <si>
    <t>ราคาต้นทุนต่อหน่วยงานทาง สะพานและท่อลอดเหลี่ยม</t>
  </si>
  <si>
    <t>งานคอนกรีตโครงสร้าง</t>
  </si>
  <si>
    <t>Joint Sealant</t>
  </si>
  <si>
    <t>ท่อกลม Ø 1.00 ม. สำหรับงานทางเบี่ยงชั่วคราว</t>
  </si>
  <si>
    <t>[1] (จากบัญชีค่าแรงงานฯ)</t>
  </si>
  <si>
    <t>งานทางเบี่ยงชั่วคราว (กรณีต้องก่อสร้างทางเบี่ยง)</t>
  </si>
  <si>
    <t>ทางเบี่ยง (คิดจากทางเบี่ยง กว้าง 4.00 ม. คันทางสูงเฉลี่ย 2.00 ม.)</t>
  </si>
  <si>
    <t xml:space="preserve"> - ดินถม</t>
  </si>
  <si>
    <t xml:space="preserve"> - ลูกรัง</t>
  </si>
  <si>
    <t xml:space="preserve"> - ลาดยาง Prime Coat</t>
  </si>
  <si>
    <t xml:space="preserve"> - ผิวลาดยาง AC</t>
  </si>
  <si>
    <t>ไม่คิดค่าใช้จ่าย</t>
  </si>
  <si>
    <t>ท่อกลม Ø 1.00 ม. ทางเบี่ยงชั่วคราว (ค่าท่อคิด 50% ของราคาท่อขนส่งถึงหน้างาน)</t>
  </si>
  <si>
    <t>ค่าท่อกลม Ø 1.00 ม.</t>
  </si>
  <si>
    <t>บาท/เมตร [6]=[1]+[2]+[3]+[4]+[5]</t>
  </si>
  <si>
    <t>[7]=[6]</t>
  </si>
  <si>
    <t>รวมต้นทุน</t>
  </si>
  <si>
    <t>กำหนดค่างานต้นทุนทางเบี่ยง</t>
  </si>
  <si>
    <t>ราคาท่อเหลี่ยม/เมตร</t>
  </si>
  <si>
    <t>รวมราคาท่อเหลี่ยม</t>
  </si>
  <si>
    <t>แห่ง   พ.ท.ผิว</t>
  </si>
  <si>
    <t>พื้นที่ Taper</t>
  </si>
  <si>
    <t>1.) ชั้นรองพื้นทางหนา</t>
  </si>
  <si>
    <t>2.) ชั้นพื้นทางหนา</t>
  </si>
  <si>
    <t>ปริมาณงาน  ทางเชื่อม ผิวทางลาดยาง</t>
  </si>
  <si>
    <t>ค่า R</t>
  </si>
  <si>
    <t>Area 1 ข้าง (ตร.ม.)</t>
  </si>
  <si>
    <t>Area 2 ข้าง (ตร.ม.)</t>
  </si>
  <si>
    <t>รัศมี</t>
  </si>
  <si>
    <t>ชั้นรองพื้นทาง</t>
  </si>
  <si>
    <t>ชั้นพื้นทาง</t>
  </si>
  <si>
    <t xml:space="preserve"> Area(2) ค่า R</t>
  </si>
  <si>
    <t>งานชั้นรองพื้นทาง</t>
  </si>
  <si>
    <t>งาน Prime Coat</t>
  </si>
  <si>
    <t>งานผิวทาง  AC</t>
  </si>
  <si>
    <t>AREA (1)</t>
  </si>
  <si>
    <t>1 : 1</t>
  </si>
  <si>
    <t>ทางเชื่อม</t>
  </si>
  <si>
    <t>ท่อทางเชื่อม</t>
  </si>
  <si>
    <t>ขนาดท่อกลม</t>
  </si>
  <si>
    <t>ขนาดท่อกลม บริเวณทางเชื่อม</t>
  </si>
  <si>
    <t>Sta.</t>
  </si>
  <si>
    <t>สรุปปริมาณท่อกลมสำหรับก่อสร้างทางเชื่อม</t>
  </si>
  <si>
    <t>ปร. 4/1 ท</t>
  </si>
  <si>
    <t>สถานที่</t>
  </si>
  <si>
    <t>...........................................................................</t>
  </si>
  <si>
    <t>จำนวน Rumble Strip</t>
  </si>
  <si>
    <t>แห่ง   พ.ท. Rumbel Sreip</t>
  </si>
  <si>
    <t>ตร.ม./แห่ง</t>
  </si>
  <si>
    <t>มีนาคม</t>
  </si>
  <si>
    <t>ใบแสดงราคาค่ายานพาหนะและงานป้ายจราจรระหว่างการก่อสร้าง</t>
  </si>
  <si>
    <t>1. ค่ายานพาหนะ</t>
  </si>
  <si>
    <t>ค่าเช่ารถยนต์ปิคอัพทั่วไป ราคา 1,000 บาท/วัน</t>
  </si>
  <si>
    <t>บาท/เดือน</t>
  </si>
  <si>
    <t>จากการสอบราคา มีผู้เสนอราคา 3 ราย คือ</t>
  </si>
  <si>
    <t>นางสาววรรณริสา  หนูจุ้ย</t>
  </si>
  <si>
    <t>เสนอราคา</t>
  </si>
  <si>
    <t>นายอุทัย แสนบอโด</t>
  </si>
  <si>
    <t>นายวิสุทธิ์  แสงแก้ว</t>
  </si>
  <si>
    <t>ระยะเวลาก่อสร้าง</t>
  </si>
  <si>
    <t>รวมเป็นเงินทั้งสิ้น</t>
  </si>
  <si>
    <t>ใบแสดงราคางานป้ายจราจรระหว่างการก่อสร้าง</t>
  </si>
  <si>
    <t>1. งานป้ายจราจรระหว่างการก่อสร้าง</t>
  </si>
  <si>
    <t>บาท   =</t>
  </si>
  <si>
    <t>ป้ายสิ้นสุดเขตก่อสร้าง (ป้ายแบบที่ 6)</t>
  </si>
  <si>
    <t>ป้ายงานก่อสร้าง (ป้ายแบบที่ 19)</t>
  </si>
  <si>
    <t>ป้ายกำหนดความเร็ว 40 กม./ชม. (ป้ายแบบที่ 33)</t>
  </si>
  <si>
    <t>กรวยยาง</t>
  </si>
  <si>
    <t xml:space="preserve">        =</t>
  </si>
  <si>
    <t>บาท/12 เดือน</t>
  </si>
  <si>
    <t>งานป้ายจราจรระหว่างการก่อสร้าง</t>
  </si>
  <si>
    <t>วันที่</t>
  </si>
  <si>
    <t>ปี</t>
  </si>
  <si>
    <t>มกราคม</t>
  </si>
  <si>
    <t>เมษายน</t>
  </si>
  <si>
    <t>พฤษภาคม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</si>
  <si>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</si>
  <si>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</si>
  <si>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</si>
  <si>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</si>
  <si>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</si>
  <si>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</si>
  <si>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รหัสสายทาง</t>
  </si>
  <si>
    <t>-------------</t>
  </si>
  <si>
    <t>พท.4001</t>
  </si>
  <si>
    <t>พท.1002</t>
  </si>
  <si>
    <t>พท.1005</t>
  </si>
  <si>
    <t>พท.2006</t>
  </si>
  <si>
    <t>พท.4007</t>
  </si>
  <si>
    <t>พท.2008</t>
  </si>
  <si>
    <t>พท.4009</t>
  </si>
  <si>
    <t>พท.1010</t>
  </si>
  <si>
    <t>พท.1011</t>
  </si>
  <si>
    <t>พท.2013</t>
  </si>
  <si>
    <t>พท.2016</t>
  </si>
  <si>
    <t>พท.4018</t>
  </si>
  <si>
    <t>พท.4019</t>
  </si>
  <si>
    <t>พท.1021</t>
  </si>
  <si>
    <t>พท.2030</t>
  </si>
  <si>
    <t>พท.5036</t>
  </si>
  <si>
    <t>พท.5037</t>
  </si>
  <si>
    <t>พท.2038</t>
  </si>
  <si>
    <t>พท.1040</t>
  </si>
  <si>
    <t>พท.2041</t>
  </si>
  <si>
    <t>พท.4044</t>
  </si>
  <si>
    <t>พท.4048</t>
  </si>
  <si>
    <t>พท.5050</t>
  </si>
  <si>
    <t>ถนนเฉลิมพระเกียรติ  ๘๐ พรรษา  ๕  ธันวาคม  ๒๕๕๐</t>
  </si>
  <si>
    <t>พท.4052</t>
  </si>
  <si>
    <t>พท.4053</t>
  </si>
  <si>
    <t>พท.4003</t>
  </si>
  <si>
    <t>พท.4004</t>
  </si>
  <si>
    <t>พท.1014</t>
  </si>
  <si>
    <t>พท.1015</t>
  </si>
  <si>
    <t>พท.1017</t>
  </si>
  <si>
    <t>พท.1020</t>
  </si>
  <si>
    <t>พท.5022</t>
  </si>
  <si>
    <t>พท.1023</t>
  </si>
  <si>
    <t>พท.4025</t>
  </si>
  <si>
    <t>พท.4026</t>
  </si>
  <si>
    <t>พท.1027</t>
  </si>
  <si>
    <t>พท.1028</t>
  </si>
  <si>
    <t>พท.1029</t>
  </si>
  <si>
    <t>พท.4032</t>
  </si>
  <si>
    <t>พท.4033</t>
  </si>
  <si>
    <t>พท.1042</t>
  </si>
  <si>
    <t>พท.4046</t>
  </si>
  <si>
    <t>พท.5051</t>
  </si>
  <si>
    <t>พท.4054</t>
  </si>
  <si>
    <t>พท.5056</t>
  </si>
  <si>
    <t>แยกทางหลวงชนบท พท.1017 (กม.ที่ 1+775) - บ้านหูแร่</t>
  </si>
  <si>
    <t xml:space="preserve"> - ขนาด RB 25 มม. ( SR24 ) : Dowel Bar</t>
  </si>
  <si>
    <t>พท.รวม (ตร.ม.)</t>
  </si>
  <si>
    <t>ปริมาณเหล็กเสริม</t>
  </si>
  <si>
    <t>เผื่อเศษความเสียหาย</t>
  </si>
  <si>
    <t>ปริมาณทั้งหมด</t>
  </si>
  <si>
    <t>แถบสีกว้าง (ม.)</t>
  </si>
  <si>
    <t>บ้านชะรัด อ.กงหรา จ.พัทลุง</t>
  </si>
  <si>
    <t>ตารางแสดงวงเงินงบประมาณที่ได้รับจัดสรรและราคากลางในงานจ้างก่อสร้าง</t>
  </si>
  <si>
    <t>1.</t>
  </si>
  <si>
    <t>2.</t>
  </si>
  <si>
    <t>วงเงินงบประมาณที่ได้รับจัดสรร</t>
  </si>
  <si>
    <t>3.</t>
  </si>
  <si>
    <t xml:space="preserve">ลักษณะงานโดยสังเขป </t>
  </si>
  <si>
    <t>ประเภทงาน</t>
  </si>
  <si>
    <t>วัสดุเคลือบผิวจราจร</t>
  </si>
  <si>
    <t>ตีเส้นจราจรเทอร์โมพลาสติก</t>
  </si>
  <si>
    <t>ป้ายจำกัดความเร็ว</t>
  </si>
  <si>
    <t>ป้ายเตือนเขตโรงเรียน</t>
  </si>
  <si>
    <t>ป้ายโครงการพร้อมชื่อโรงเรียน</t>
  </si>
  <si>
    <t>MAST ARM พร้อมป้ายเตือนและไฟกระพริบ</t>
  </si>
  <si>
    <t>งานหินคลุกบดอัดแน่น</t>
  </si>
  <si>
    <t>งาน Prime coat</t>
  </si>
  <si>
    <t>ตีเส้นลานจอดรถ สีขาว</t>
  </si>
  <si>
    <t>งานอื่นๆ</t>
  </si>
  <si>
    <t>4.</t>
  </si>
  <si>
    <t>5.</t>
  </si>
  <si>
    <r>
      <t xml:space="preserve">บัญชีประมาณการราคากลาง </t>
    </r>
    <r>
      <rPr>
        <sz val="16"/>
        <color theme="1"/>
        <rFont val="TH SarabunIT๙"/>
        <family val="2"/>
      </rPr>
      <t xml:space="preserve">รายละเอียดตามไฟล์ที่แนบ </t>
    </r>
  </si>
  <si>
    <t>6.</t>
  </si>
  <si>
    <t>รายชื่อคณะกรรมการกำหนดราคากลาง</t>
  </si>
  <si>
    <t>คณะกรรมการกำหนดราคากลาง</t>
  </si>
  <si>
    <t>ป้ายกำหนดน้ำหนักบรรทุก (จร-120/56)</t>
  </si>
  <si>
    <r>
      <t>ราคากลาง</t>
    </r>
    <r>
      <rPr>
        <sz val="16"/>
        <color theme="1"/>
        <rFont val="TH SarabunIT๙"/>
        <family val="2"/>
      </rPr>
      <t>คำนวณ ณ วันที่</t>
    </r>
  </si>
  <si>
    <t>งานปรับปรุงโครงสร้างทาง</t>
  </si>
  <si>
    <t>งานเกลี่ยปรับคันทางและไหล่ทางเดิมแล้วบดทับ</t>
  </si>
  <si>
    <t>งานดินถม (วัสดุจากดินตัด)</t>
  </si>
  <si>
    <t>งานดินถม (วัสดุจากแหล่งนอกโครงการ)</t>
  </si>
  <si>
    <t>งานวัสดุคัดเลือกบดอัดแน่น</t>
  </si>
  <si>
    <t>หินคลุกปรับระดับ (หลวม)</t>
  </si>
  <si>
    <t xml:space="preserve">Skin   Patch </t>
  </si>
  <si>
    <t>Deep  Patch</t>
  </si>
  <si>
    <t>งานอื่น ๆ (ระบุชนิด)</t>
  </si>
  <si>
    <t>ค่าดำเนินการ+ค่าเสื่อมราคา งานขุดตัดดิน</t>
  </si>
  <si>
    <t>ค่าดำเนินการ+ค่าเสื่อมราคา งานบดทับ</t>
  </si>
  <si>
    <t>[3] = [1]+[2]</t>
  </si>
  <si>
    <t>Hot Mix</t>
  </si>
  <si>
    <t xml:space="preserve"> ตร.ม./ตัน )</t>
  </si>
  <si>
    <t>รวมค่าวัสดุ</t>
  </si>
  <si>
    <t>ค่าดำเนินการและค่าเสื่อมราคางาน Tack Coat ปูลาดและบดทับ</t>
  </si>
  <si>
    <t>รวมค่าวัสดุและค่าแรงเป็นเงิน</t>
  </si>
  <si>
    <t>ซม.            (</t>
  </si>
  <si>
    <t>[5] = [3] + [4]</t>
  </si>
  <si>
    <t>2.5.1</t>
  </si>
  <si>
    <t>2.5.2</t>
  </si>
  <si>
    <t>งานผิวทางและไหล่ทาง Slurry Seal</t>
  </si>
  <si>
    <t>งานตีเส้นจราจร</t>
  </si>
  <si>
    <t>สีเทอร์โมพลาสติก</t>
  </si>
  <si>
    <t>สี Traffic Paint</t>
  </si>
  <si>
    <t>Rumble Strips</t>
  </si>
  <si>
    <t>ทางม้าลาย</t>
  </si>
  <si>
    <t>4.1.1(1)</t>
  </si>
  <si>
    <t>4.1.1(2)</t>
  </si>
  <si>
    <t>4.1.1(3)</t>
  </si>
  <si>
    <t>4.1.1(4)</t>
  </si>
  <si>
    <t>4.1.1(5)</t>
  </si>
  <si>
    <t>4.1.2(1)</t>
  </si>
  <si>
    <t>4.1.2(2)</t>
  </si>
  <si>
    <t>4.1.2(3)</t>
  </si>
  <si>
    <t>4.1.3</t>
  </si>
  <si>
    <t>4.1.3(1)</t>
  </si>
  <si>
    <t>4.1.3(2)</t>
  </si>
  <si>
    <t>4.1.3(3)</t>
  </si>
  <si>
    <t>4.1.4</t>
  </si>
  <si>
    <t>4.1.4(1)</t>
  </si>
  <si>
    <t>4.1.4(2)</t>
  </si>
  <si>
    <t>4.1.5</t>
  </si>
  <si>
    <t>4.2.1</t>
  </si>
  <si>
    <t>4.2.2</t>
  </si>
  <si>
    <t>4.2.3</t>
  </si>
  <si>
    <t>งานจราจรสงเคราะห์</t>
  </si>
  <si>
    <t>งานปรับปรุง</t>
  </si>
  <si>
    <t>หลักแนวโค้ง ค.ส.ล.</t>
  </si>
  <si>
    <t xml:space="preserve"> ป้ายจราจร</t>
  </si>
  <si>
    <t>GUARD RAIL</t>
  </si>
  <si>
    <t>งานติดตั้ง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</si>
  <si>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</si>
  <si>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</si>
  <si>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</si>
  <si>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</si>
  <si>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</si>
  <si>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</si>
  <si>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</si>
  <si>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</si>
  <si>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</si>
  <si>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</si>
  <si>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</si>
  <si>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</si>
  <si>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</si>
  <si>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</si>
  <si>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</si>
  <si>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</si>
  <si>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</si>
  <si>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5.2.21</t>
  </si>
  <si>
    <t>5.2.22</t>
  </si>
  <si>
    <t>5.2.23</t>
  </si>
  <si>
    <t>5.2.24</t>
  </si>
  <si>
    <t>5.2.25</t>
  </si>
  <si>
    <t>5.2.26</t>
  </si>
  <si>
    <t>5.2.27</t>
  </si>
  <si>
    <t>5.2.28</t>
  </si>
  <si>
    <t>5.2.29</t>
  </si>
  <si>
    <t>5.2.30</t>
  </si>
  <si>
    <t>5.2.31</t>
  </si>
  <si>
    <t>5.2.32</t>
  </si>
  <si>
    <t>5.2.33</t>
  </si>
  <si>
    <t>5.2.34</t>
  </si>
  <si>
    <t>5.2.35</t>
  </si>
  <si>
    <t>5.2.36</t>
  </si>
  <si>
    <t>5.2.37</t>
  </si>
  <si>
    <t>5.2.38</t>
  </si>
  <si>
    <t>5.2.39</t>
  </si>
  <si>
    <t>5.2.40</t>
  </si>
  <si>
    <t>5.2.41</t>
  </si>
  <si>
    <t>5.2.42</t>
  </si>
  <si>
    <t>5.2.43</t>
  </si>
  <si>
    <t>5.2.44</t>
  </si>
  <si>
    <t>5.2.45</t>
  </si>
  <si>
    <t>ติดตั้งปุ่มสะท้อนแสง (2 หน้า)</t>
  </si>
  <si>
    <t>ตีเส้นทางรถไฟตัดผ่าน</t>
  </si>
  <si>
    <t>ปุ่ม</t>
  </si>
  <si>
    <t>5.2.46</t>
  </si>
  <si>
    <t>ติดตั้งสัญญาณไฟกระพริบ</t>
  </si>
  <si>
    <t>5.2.47</t>
  </si>
  <si>
    <t>ปรับปรุงสะพาน คสล.</t>
  </si>
  <si>
    <t>5.2.48</t>
  </si>
  <si>
    <t>ปร. 4/1 บร</t>
  </si>
  <si>
    <t>ปร. 4/2 บร</t>
  </si>
  <si>
    <t>ลักษณะสายทางเดิม</t>
  </si>
  <si>
    <t>ชนิดไหล่ทาง</t>
  </si>
  <si>
    <t>ขุดรื้อผิวทางและไหล่ทาง</t>
  </si>
  <si>
    <t>ความหนาจริงของผิวทางแอสฟัลท์คอนกรีต</t>
  </si>
  <si>
    <t>[4] = [3] x 0.08</t>
  </si>
  <si>
    <t>[5] (จากตารางค่าขนส่ง)</t>
  </si>
  <si>
    <t>[6] = [5] x 0.08</t>
  </si>
  <si>
    <t>[7] = [2] + [4] + [6]</t>
  </si>
  <si>
    <t>งานป้องกันการกัดเซาะ</t>
  </si>
  <si>
    <t>งาน Concrete Slope Protection</t>
  </si>
  <si>
    <t>แบบมาตรฐาน ทางหลวงชนบท เลขที่ ปช.- 101/56</t>
  </si>
  <si>
    <t>จำนวนแผง</t>
  </si>
  <si>
    <t>ความยาว/แผง</t>
  </si>
  <si>
    <t>ระยะทางก่อสร้างดาดคอนกรีต</t>
  </si>
  <si>
    <t>ถึง กม.ที่</t>
  </si>
  <si>
    <t>กม.ที่</t>
  </si>
  <si>
    <t>Guard  Rail บริเวณคอสะพานและทางโค้ง</t>
  </si>
  <si>
    <t>Guard  Rail บริเวณทางตรง</t>
  </si>
  <si>
    <t>ซ่อมสร้างผิวทาง</t>
  </si>
  <si>
    <t>ซ่อมสร้างไหล่ทาง</t>
  </si>
  <si>
    <t>บ้านพูด อ.กงหรา จ.พัทลุง</t>
  </si>
  <si>
    <t xml:space="preserve">ซ่อมสร้างผิวทาง </t>
  </si>
  <si>
    <t>ใช้ราคาลูกรัง</t>
  </si>
  <si>
    <t>บ้านควนน้อย อ.ควนขนุน จ.พัทลุง</t>
  </si>
  <si>
    <t>ก-30</t>
  </si>
  <si>
    <t>ข-30</t>
  </si>
  <si>
    <t>ค-30</t>
  </si>
  <si>
    <t>ง-30</t>
  </si>
  <si>
    <t>ก-50</t>
  </si>
  <si>
    <t>ข-50</t>
  </si>
  <si>
    <t>ค-50</t>
  </si>
  <si>
    <t>ง-50</t>
  </si>
  <si>
    <t>ชนิด</t>
  </si>
  <si>
    <t>ความหนาราง</t>
  </si>
  <si>
    <t>ความกว้างราง</t>
  </si>
  <si>
    <t>ความสูงราง</t>
  </si>
  <si>
    <t>ความหนาฝา</t>
  </si>
  <si>
    <t>T1</t>
  </si>
  <si>
    <t>T2</t>
  </si>
  <si>
    <t>A</t>
  </si>
  <si>
    <t>Ø มม.</t>
  </si>
  <si>
    <t>@ ซม.</t>
  </si>
  <si>
    <t>C</t>
  </si>
  <si>
    <t>L (ม.)</t>
  </si>
  <si>
    <t>ความกว้างฝา</t>
  </si>
  <si>
    <t>W2</t>
  </si>
  <si>
    <t>W1</t>
  </si>
  <si>
    <t>ขนาดรางระบายน้ำ</t>
  </si>
  <si>
    <t>ใช้รางระบายน้ำชนิด</t>
  </si>
  <si>
    <t>Temp Bar A</t>
  </si>
  <si>
    <t>Temp Bar D</t>
  </si>
  <si>
    <t>Temp Bar C</t>
  </si>
  <si>
    <t>Temp Bar B</t>
  </si>
  <si>
    <t>ตารางแสดงเหล็กเสริมกันร้าว (Temp Bar)</t>
  </si>
  <si>
    <t>ความหนาคอนกรีต</t>
  </si>
  <si>
    <t>use data</t>
  </si>
  <si>
    <t>RB 6</t>
  </si>
  <si>
    <t>RB 12</t>
  </si>
  <si>
    <t>รวมปริมาณ</t>
  </si>
  <si>
    <t>เมตร             คิดที่ความยาว</t>
  </si>
  <si>
    <t>ขนาด / ชนิด</t>
  </si>
  <si>
    <t>รางระบายน้ำ</t>
  </si>
  <si>
    <t>ฝาปิด</t>
  </si>
  <si>
    <t>RB12</t>
  </si>
  <si>
    <t>เสริมพิเศษรางระบายน้ำ</t>
  </si>
  <si>
    <t>เสริมพิเศษฝาปิด</t>
  </si>
  <si>
    <t>พิเศษราง</t>
  </si>
  <si>
    <t>พิเศษฝาปิด</t>
  </si>
  <si>
    <t>(กก.)</t>
  </si>
  <si>
    <t>รวมเหล็กรางระบายน้ำ</t>
  </si>
  <si>
    <t>รวมเหล็กฝาปิดราง</t>
  </si>
  <si>
    <t>หนา</t>
  </si>
  <si>
    <t>เผื่อส่วนสูญเสีย</t>
  </si>
  <si>
    <t>[10](จากตารางบัญชีค่าแรงงานฯ ข้อ 10)</t>
  </si>
  <si>
    <t>[14]=[1]+[2]+…+[13]</t>
  </si>
  <si>
    <t>[15]/[1]</t>
  </si>
  <si>
    <t>[16]=[15]</t>
  </si>
  <si>
    <t>[9]=[1]+[2]+…+[8]</t>
  </si>
  <si>
    <t>[6](จากตารางบัญชีค่าแรงงานฯ ข้อ 10)</t>
  </si>
  <si>
    <t>ก่อสร้างดาด</t>
  </si>
  <si>
    <t>ด้าน (ขวาทาง) ยาว</t>
  </si>
  <si>
    <t>30.00 - 30.99 บาท/ลิตร</t>
  </si>
  <si>
    <t>ราคาเฉลี่ย</t>
  </si>
  <si>
    <t>29.00 - 29.99 บาท/ลิตร</t>
  </si>
  <si>
    <t>ราคาน้ำมันเชื้อเพลิงโซล่า ที่ อำเภอเมือง</t>
  </si>
  <si>
    <t>ตารางค่าขนส่งวัสดุก่อสร้าง รถบรรทุก 10 ล้อ (กรณีน้ำหนักรวมไม่เกิน 25 ตัน)</t>
  </si>
  <si>
    <t>ราคาน้ำมันเฉลี่ย</t>
  </si>
  <si>
    <t>อัตราน้ำมันเชื้อเพลิงเฉลี่ย</t>
  </si>
  <si>
    <t>(ราคาเครื่องจักร 2548)</t>
  </si>
  <si>
    <t>สรุปตารางค่าดำเนินการและค่าเสื่อมราคา</t>
  </si>
  <si>
    <t>ราคาน้ำมันเชื้อเพลิงโซล่าเฉลี่ย</t>
  </si>
  <si>
    <t>ราคาน้ำมันเชื้อเพลิงโซล่า ที่ อ.เมือง 30.00 - 30.99 บาท/ลิตร</t>
  </si>
  <si>
    <t>ราคาน้ำมันเชื้อเพลิงโซล่า ที่ อ.เมือง 29.00 - 29.99 บาท/ลิตร</t>
  </si>
  <si>
    <t>Gabion 3.00x1.00x1.00 m.</t>
  </si>
  <si>
    <t>บาท/กล่อง</t>
  </si>
  <si>
    <t>Gabion 2.00x1.00x1.00 m.</t>
  </si>
  <si>
    <t>Gabion 1.50x1.00x1.00 m.</t>
  </si>
  <si>
    <t>แผ่นใยสังเคราะห์</t>
  </si>
  <si>
    <t>กล่องลวดบรรจุหินใหญ่ (GABION) และแผ่นใยสังเคราะห์ (Geotextile)</t>
  </si>
  <si>
    <t>กล่อง</t>
  </si>
  <si>
    <t>Gabion 2.00x1.00x0.50 m.</t>
  </si>
  <si>
    <t>7.2.1</t>
  </si>
  <si>
    <t>งานติดตั้งกล่องลวดบรรจุหินใหญ่ (GABION)</t>
  </si>
  <si>
    <t>7.2.1(1)</t>
  </si>
  <si>
    <t>ปริมาณ/กล่อง</t>
  </si>
  <si>
    <t>ลบ.ม.   ปริมาตรรวม</t>
  </si>
  <si>
    <t>7.2.1(2)</t>
  </si>
  <si>
    <t>7.2.1(3)</t>
  </si>
  <si>
    <t>7.2.2</t>
  </si>
  <si>
    <t>งานหินใหญ่สำหรับบรรจุในกล่องลวดตาข่ายบรรจุหินใหญ่</t>
  </si>
  <si>
    <t>ปริมาณหินใหญ่</t>
  </si>
  <si>
    <t>7.2.3</t>
  </si>
  <si>
    <t>งานแผ่นใยสังเคราะห์ (GEOTEXTILE)</t>
  </si>
  <si>
    <t>พื้นที่ปูแผ่นใยสังเคราะห์</t>
  </si>
  <si>
    <t>ตร.ม./ด้าน</t>
  </si>
  <si>
    <t>สูง</t>
  </si>
  <si>
    <t>GABIONS SIZE</t>
  </si>
  <si>
    <t>ค่ากล่องลวดตาข่ายบรรจุหินใหญ่ พร้อมลวดพันกล่อง</t>
  </si>
  <si>
    <t>ค่าถักกล่องและประกอบติดตั้ง (30% ของค่าวัสดุรวมค่าขนส่ง)</t>
  </si>
  <si>
    <t>[3] = ([1] + [2]) x 30%</t>
  </si>
  <si>
    <t>รวมค่าวัสดุและค่าประกอบติดตั้งเป็นเงิน</t>
  </si>
  <si>
    <t>ค่าหินใหญ่ ที่แหล่ง</t>
  </si>
  <si>
    <t>ค่าเสื่อมราคาขุดตัก</t>
  </si>
  <si>
    <t>รวมค่าวัสดุและขนส่ง</t>
  </si>
  <si>
    <t xml:space="preserve">อัตราการยุบตัว </t>
  </si>
  <si>
    <t>[5] = [4] x 1.15</t>
  </si>
  <si>
    <t>ค่าบรรจุหินลงในกล่องลวดตาข่ายบรรจุหินใหญ่ (30% ของค่าวัสดุรวมค่าขนส่ง)</t>
  </si>
  <si>
    <t>[6] = [5] x 30%</t>
  </si>
  <si>
    <t>[7] = [6] + [5]</t>
  </si>
  <si>
    <t>[8] = [9]</t>
  </si>
  <si>
    <t>ค่าแผ่นใยสังเคราะห์ (GEOTEXTILE)</t>
  </si>
  <si>
    <t>ค่าปูแผ่นใยสังเคราะห์ (10% ของค่าวัสดุรวมค่าขนส่ง)</t>
  </si>
  <si>
    <t>[3] = ([1] + [2]) x 10%</t>
  </si>
  <si>
    <t>รวมค่าวัสดุและค่าติดตั้งเป็นเงิน</t>
  </si>
  <si>
    <t>งานหินเรียงป้องกันการกัดเซาะ (PLAIN RIP-RAP CONSTRUCTION)</t>
  </si>
  <si>
    <t>ก. x ย. x ส.</t>
  </si>
  <si>
    <t>พื้นที่ก่อสร้าง</t>
  </si>
  <si>
    <t>ตร.ม.            ลึก</t>
  </si>
  <si>
    <t>ราคางานหินเรียงป้องกันการกัดเซาะ</t>
  </si>
  <si>
    <t>ค่าเรียงหิน (15% ของค่าวัสดุรวมค่าขนส่ง)</t>
  </si>
  <si>
    <t>พท.5057</t>
  </si>
  <si>
    <t>28.00 - 28.99 บาท/ลิตร</t>
  </si>
  <si>
    <t>31.00 - 31.99 บาท/ลิตร</t>
  </si>
  <si>
    <t>32.00 - 32.99 บาท/ลิตร</t>
  </si>
  <si>
    <t>27.00 - 27.99 บาท/ลิตร</t>
  </si>
  <si>
    <t>25.00 - 25.99 บาท/ลิตร</t>
  </si>
  <si>
    <t>26.00 - 26.99 บาท/ลิตร</t>
  </si>
  <si>
    <t>ปร.๔/๑บร, ปร.๔/๑ท, ปร.๕</t>
  </si>
  <si>
    <t>ระยะทางดำเนินการซ่อมสร้างฯ</t>
  </si>
  <si>
    <t>พท.4055</t>
  </si>
  <si>
    <t>ราคาน้ำมันเชื้อเพลิงโซล่า ที่ อ.เมือง 25.00 - 25.99 บาท/ลิตร</t>
  </si>
  <si>
    <t>ราคาน้ำมันเชื้อเพลิงโซล่า ที่ อ.เมือง 26.00 - 26.99 บาท/ลิตร</t>
  </si>
  <si>
    <t>ราคาน้ำมันเชื้อเพลิงโซล่า ที่ อ.เมือง 27.00 - 27.99 บาท/ลิตร</t>
  </si>
  <si>
    <t>ราคาน้ำมันเชื้อเพลิงโซล่า ที่ อ.เมือง 28.00 - 28.99 บาท/ลิตร</t>
  </si>
  <si>
    <t>ราคาน้ำมันเชื้อเพลิงโซล่า ที่ อ.เมือง 31.00 - 31.99 บาท/ลิตร</t>
  </si>
  <si>
    <t>ราคาน้ำมันเชื้อเพลิงโซล่า ที่ อ.เมือง 32.00 - 32.99 บาท/ลิตร</t>
  </si>
  <si>
    <t>.</t>
  </si>
  <si>
    <t>Factor F สำหรับงานก่อสร้างทาง             =</t>
  </si>
  <si>
    <t xml:space="preserve">ตาราง Factor  F งานก่อสร้างทาง </t>
  </si>
  <si>
    <r>
      <t xml:space="preserve"> 2.  ถ้าเป็นงานเงินกู้ให้ใช้  Factor F   ในช่อง </t>
    </r>
    <r>
      <rPr>
        <b/>
        <sz val="13"/>
        <color indexed="18"/>
        <rFont val="Angsana New"/>
        <family val="1"/>
      </rPr>
      <t>"รวมในรูป Factor"</t>
    </r>
  </si>
  <si>
    <t>ตาราง Factor F งานก่อสร้างสะพานและท่อเหลี่ยม</t>
  </si>
  <si>
    <r>
      <t xml:space="preserve"> 2.  ถ้าเป็นงานเงินกู้ให้ใช้  Factor F   ในช่อง </t>
    </r>
    <r>
      <rPr>
        <b/>
        <sz val="14"/>
        <color indexed="18"/>
        <rFont val="Angsana New"/>
        <family val="1"/>
      </rPr>
      <t>"รวมในรูป Factor"</t>
    </r>
  </si>
  <si>
    <t>งานทรายรองใต้ผิวจราจรคอนกรีต                                        หนา</t>
  </si>
  <si>
    <t>แขวงทางหลวงชนบทพัทลุง</t>
  </si>
  <si>
    <r>
      <t xml:space="preserve">หน่วยงานเจ้าของโครงการ  </t>
    </r>
    <r>
      <rPr>
        <sz val="16"/>
        <color theme="1"/>
        <rFont val="TH SarabunIT๙"/>
        <family val="2"/>
      </rPr>
      <t xml:space="preserve"> แขวงทางหลวงชนบทพัทลุง กรมทางหลวงชนบท</t>
    </r>
  </si>
  <si>
    <t>F</t>
  </si>
  <si>
    <t>Approach Slab  ความหนา   25     ซม.</t>
  </si>
  <si>
    <t xml:space="preserve">กรมทางหลวงชนบท </t>
  </si>
  <si>
    <t>สำนักงานทางหลวงชนบทที่ 14 (กระบี่)</t>
  </si>
  <si>
    <t>หจก.เอเชียพัทลุงวิศวกรรม</t>
  </si>
  <si>
    <t>บ้านควนถบ อ.เมือง จ.พัทลุง</t>
  </si>
  <si>
    <t>บ้านควนดินสอ อ.ศรีนครินทร์ จ.พัทลุง</t>
  </si>
  <si>
    <t>( รูปแบบที่2 งานก่อสร้างที่มีการปิดช่องจราจร )</t>
  </si>
  <si>
    <t>ป้ายงานก่อสร้างทางข้างหน้า (ป้ายแบบที่ 2)</t>
  </si>
  <si>
    <t>ป้ายเริ่มต้นเขตก่อสร้าง (ป้ายแบบที่ 7)</t>
  </si>
  <si>
    <t>ม.  ระยะทางตลอดสายทาง</t>
  </si>
  <si>
    <t>ราคาน้ำมันเชื้อเพลิงโซล่า ที่ อ.เมือง 24.00 - 24.99 บาท/ลิตร</t>
  </si>
  <si>
    <t>ราคาน้ำมันเชื้อเพลิงโซล่า ที่ อ.เมือง 23.00 - 23.99 บาท/ลิตร</t>
  </si>
  <si>
    <t>ราคาน้ำมันเชื้อเพลิงโซล่า ที่ อ.เมือง 22.00 - 22.99 บาท/ลิตร</t>
  </si>
  <si>
    <t>ราคาน้ำมันเชื้อเพลิงโซล่า ที่ อ.เมือง 21.00 - 21.99 บาท/ลิตร</t>
  </si>
  <si>
    <t>ราคาน้ำมันเชื้อเพลิงโซล่า ที่ อ.เมือง 20.00 - 20.99 บาท/ลิตร</t>
  </si>
  <si>
    <t>24.00 - 24.99 บาท/ลิตร</t>
  </si>
  <si>
    <t>23.00 - 23.99 บาท/ลิตร</t>
  </si>
  <si>
    <t>22.00 - 22.99 บาท/ลิตร</t>
  </si>
  <si>
    <t>21.00 - 21.99 บาท/ลิตร</t>
  </si>
  <si>
    <t>20.00 - 20.99 บาท/ลิตร</t>
  </si>
  <si>
    <t>เสริมศักดิ์บ่อดิน อ.เมือง จ.พัทลุง</t>
  </si>
  <si>
    <t>66.9.87</t>
  </si>
  <si>
    <t>1.461.83</t>
  </si>
  <si>
    <t xml:space="preserve">                1 9.23 </t>
  </si>
  <si>
    <t>4.54.5.68</t>
  </si>
  <si>
    <t>วิศวกรโยธาชำนาญการพิเศษ รักษาราชการแทน</t>
  </si>
  <si>
    <t>กิจกรรมไฟฟ้าแสงสว่างและไฟสัญญาณจราจร</t>
  </si>
  <si>
    <t>ระยะห่างต่อต้น</t>
  </si>
  <si>
    <t>ช่วงที่ 1 กม.</t>
  </si>
  <si>
    <t>ช่วงที่ 2 กม.</t>
  </si>
  <si>
    <t>ช่วงที่ 3 กม.</t>
  </si>
  <si>
    <t>ค่าอุปกรณ์อัดแรง(@10,000บ.ต่อ ตัน)</t>
  </si>
  <si>
    <t>หมายหตุ</t>
  </si>
  <si>
    <t>สำหรับท่อกลมขนาด  1 แถว  - Ø  0.60  เมตร</t>
  </si>
  <si>
    <t>สำหรับท่อกลมขนาด  2 แถว  - Ø  0.60  เมตร</t>
  </si>
  <si>
    <t xml:space="preserve"> - Ø 0.30 ม.</t>
  </si>
  <si>
    <t xml:space="preserve"> - Ø 0.40 ม.</t>
  </si>
  <si>
    <t xml:space="preserve"> - Ø 0.60 ม.</t>
  </si>
  <si>
    <t xml:space="preserve"> - Ø 0.80 ม.</t>
  </si>
  <si>
    <t xml:space="preserve"> - Ø 1.00 ม.</t>
  </si>
  <si>
    <t xml:space="preserve"> - Ø 1.20 ม.</t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</si>
  <si>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180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</si>
  <si>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210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</si>
  <si>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240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</si>
  <si>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280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</si>
  <si>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320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</si>
  <si>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350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</si>
  <si>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380 ksc</t>
    </r>
  </si>
  <si>
    <r>
      <t xml:space="preserve"> - </t>
    </r>
    <r>
      <rPr>
        <sz val="10"/>
        <color theme="1"/>
        <rFont val="TH SarabunPSK"/>
        <family val="2"/>
      </rPr>
      <t>c</t>
    </r>
    <r>
      <rPr>
        <sz val="14"/>
        <color theme="1"/>
        <rFont val="TH SarabunPSK"/>
        <family val="2"/>
      </rPr>
      <t xml:space="preserve"> 400 ksc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</si>
  <si>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180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</si>
  <si>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210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</si>
  <si>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240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</si>
  <si>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280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</si>
  <si>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320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</si>
  <si>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350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</si>
  <si>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380 กก./ตร.ม.</t>
    </r>
  </si>
  <si>
    <r>
      <t xml:space="preserve"> - คอนกรีตผสมเสร็จ </t>
    </r>
    <r>
      <rPr>
        <sz val="10"/>
        <rFont val="TH SarabunPSK"/>
        <family val="2"/>
      </rPr>
      <t>c</t>
    </r>
    <r>
      <rPr>
        <sz val="14"/>
        <rFont val="TH SarabunPSK"/>
        <family val="2"/>
      </rPr>
      <t xml:space="preserve"> 400 กก./ตร.ม.</t>
    </r>
  </si>
  <si>
    <r>
      <t>หมายเหตุ</t>
    </r>
    <r>
      <rPr>
        <sz val="14"/>
        <rFont val="TH SarabunPSK"/>
        <family val="2"/>
      </rPr>
      <t xml:space="preserve">    </t>
    </r>
  </si>
  <si>
    <t>ท่อ PVC Ø 1" x 0.70 ม.</t>
  </si>
  <si>
    <t>ท่อ PVC Ø 1" x 0.35 ม.</t>
  </si>
  <si>
    <t>หินกรองน้ำ Ø 3/8" - 2"</t>
  </si>
  <si>
    <t>สำหรับท่อกลมขนาด  1 แถว  - Ø 0.60  เมตร</t>
  </si>
  <si>
    <r>
      <t>สายไฟฟ้า NYY 3 x 10 mm²</t>
    </r>
    <r>
      <rPr>
        <sz val="12"/>
        <rFont val="TH SarabunPSK"/>
        <family val="2"/>
      </rPr>
      <t xml:space="preserve"> (สายไฟฟ้าเดินระหว่างเสา)</t>
    </r>
    <r>
      <rPr>
        <sz val="14"/>
        <rFont val="TH SarabunPSK"/>
        <family val="2"/>
      </rPr>
      <t xml:space="preserve"> </t>
    </r>
  </si>
  <si>
    <r>
      <t>สายไฟฟ้า THW 1 x 2.5 mm²</t>
    </r>
    <r>
      <rPr>
        <sz val="12"/>
        <rFont val="TH SarabunPSK"/>
        <family val="2"/>
      </rPr>
      <t xml:space="preserve"> </t>
    </r>
    <r>
      <rPr>
        <sz val="11"/>
        <rFont val="TH SarabunPSK"/>
        <family val="2"/>
      </rPr>
      <t>(สายไฟฟ้าเดินในเสาถึงดวงโคม)</t>
    </r>
  </si>
  <si>
    <t>ท่อ RSC Ø 1 1/2"</t>
  </si>
  <si>
    <r>
      <t xml:space="preserve">รีเลย์พร้อมโฟโต้เซล 60 A 220 V </t>
    </r>
    <r>
      <rPr>
        <sz val="11"/>
        <rFont val="TH SarabunPSK"/>
        <family val="2"/>
      </rPr>
      <t>(1 ชุด ควบคุมได้ 28 ดวงโคม)</t>
    </r>
  </si>
  <si>
    <r>
      <t>เซฟตี้สวิทซ์ 30 A พร้อมท่อ Ø 1 1/4"</t>
    </r>
    <r>
      <rPr>
        <sz val="10"/>
        <rFont val="TH SarabunPSK"/>
        <family val="2"/>
      </rPr>
      <t xml:space="preserve"> (1 ชุดควบคุมได้ 14 ดวงโคม)</t>
    </r>
  </si>
  <si>
    <t>ท่อ Ø 2 1/2" พร้อมค่าดันท่อลอด</t>
  </si>
  <si>
    <r>
      <t xml:space="preserve">[2] </t>
    </r>
    <r>
      <rPr>
        <sz val="12"/>
        <rFont val="TH SarabunPSK"/>
        <family val="2"/>
      </rPr>
      <t>(จากตารางบัญชีค่าแรงงานฯข้อ 3)</t>
    </r>
  </si>
  <si>
    <r>
      <t xml:space="preserve">[6] </t>
    </r>
    <r>
      <rPr>
        <sz val="12"/>
        <rFont val="TH SarabunPSK"/>
        <family val="2"/>
      </rPr>
      <t>(จากตารางบัญชีค่าแรงงานฯข้อ10)</t>
    </r>
  </si>
  <si>
    <r>
      <t>m</t>
    </r>
    <r>
      <rPr>
        <vertAlign val="superscript"/>
        <sz val="14"/>
        <rFont val="TH SarabunPSK"/>
        <family val="2"/>
      </rPr>
      <t>2</t>
    </r>
  </si>
  <si>
    <r>
      <t>m</t>
    </r>
    <r>
      <rPr>
        <vertAlign val="superscript"/>
        <sz val="14"/>
        <rFont val="TH SarabunPSK"/>
        <family val="2"/>
      </rPr>
      <t>3</t>
    </r>
  </si>
  <si>
    <t xml:space="preserve">ลวดอัดแรง SPC Ø 9.5 mm. </t>
  </si>
  <si>
    <t>เสาเข็มไม้ Ø 6" x 6.00 ม.</t>
  </si>
  <si>
    <t>น๊อต Ø 1/2" x 8"</t>
  </si>
  <si>
    <t>น๊อต Ø 1/2" x 10"</t>
  </si>
  <si>
    <t>ไม้ค้ำยัน Ø 3 นิ้ว</t>
  </si>
  <si>
    <t>ท่อ PVC Ø 3"</t>
  </si>
  <si>
    <t xml:space="preserve">น๊อต Ø 25 mm. </t>
  </si>
  <si>
    <r>
      <t xml:space="preserve">หมายเหตุ  </t>
    </r>
    <r>
      <rPr>
        <sz val="14"/>
        <rFont val="TH SarabunPSK"/>
        <family val="2"/>
      </rPr>
      <t>กรณีที่ปริมาณงานน้อยกว่า  7,000  ลบ.ม.  ให้ใช้ค่าติดตั้งเครื่องผสมสำหรับปริมาณงาน  7,000  ลบ.ม.  ในการประเมินราคา</t>
    </r>
  </si>
  <si>
    <t>ไม้ค้ำยันแบบ (ขนาด Ø 4" x 4.00 ม.)</t>
  </si>
  <si>
    <t>หมาย</t>
  </si>
  <si>
    <t>เหตุ</t>
  </si>
  <si>
    <t>แยกทางหลวงหมายเลข 4047 - บ้านท่าช้าง</t>
  </si>
  <si>
    <t>แยกทางหลวงหมายเลข 4 - บ้านคู</t>
  </si>
  <si>
    <t>แยกทางหลวงหมายเลข 4 - บ้านไสแตระ</t>
  </si>
  <si>
    <t>แยกทางหลวงหมายเลข 41 - บ้านสำนักปรางค์</t>
  </si>
  <si>
    <t>แยกทางหลวงหมายเลข  4047 - บ้านทะเลน้อย</t>
  </si>
  <si>
    <t>แยกทางหลวงหมายเลข  41 - บ้านปากเหมือง</t>
  </si>
  <si>
    <t>แยกทางหลวงหมายเลข 4048 - บ้านท่าสำเภาใต้</t>
  </si>
  <si>
    <t>แยกทางหลวงหมายเลข 4 - บ้านควนปริง</t>
  </si>
  <si>
    <t>แยกทางหลวงหมายเลข 4 - บ้านควนกุฎ</t>
  </si>
  <si>
    <t>แยกทางหลวงหมายเลข 41 - บ้านใหม่</t>
  </si>
  <si>
    <t>แยกทางหลวงหมายเลข 41 - บ้านหัสคุณ</t>
  </si>
  <si>
    <t>แยกทางหลวงหมายเลข 4050 - บ้านลำปำ</t>
  </si>
  <si>
    <t>แยกทางหลวงหมายเลข4048 - บ้านแหลมโตนด</t>
  </si>
  <si>
    <t>แยกทางหลวงหมายเลข 4 - บ้านทุ่งนาชี</t>
  </si>
  <si>
    <t>แยกทางหลวงหมายเลข 41 - บ้านคลองใหญ่</t>
  </si>
  <si>
    <t>แยกทางหลวงชนบท พท.2030 - บ้านหนองอ้ายเล</t>
  </si>
  <si>
    <t>แยกทางหลวงชนบท พท.1010 - บ้านขัน</t>
  </si>
  <si>
    <t>แยกทางหลวงหมายเลข 41 - วัดเต่า</t>
  </si>
  <si>
    <t>แยกทางหลวงหมายเลข 4 - บ้านท่ายูง</t>
  </si>
  <si>
    <t>แยกทางหลวงหมายเลข 41 - บ้านทุ่งชุมพล</t>
  </si>
  <si>
    <t>แยกทางหลวงหมายเลข 4163 - บ้านหนองเสม็ด</t>
  </si>
  <si>
    <t>แยกทางหลวงหมายเลข 4122 - บ้านสมหวัง</t>
  </si>
  <si>
    <t>แยกทางหลวงหมายเลข 4164 - บ้านควนนายพุฒ</t>
  </si>
  <si>
    <t>แยกทางหลวงหมายเลข 4163 - บ้านควนตะแบก</t>
  </si>
  <si>
    <t>แยกทางหลวงหมายเลข 4285 - บ้านควนแร่</t>
  </si>
  <si>
    <t>แยกทางหลวงชนบท พท.1011 - บ้านทุ่งลาน</t>
  </si>
  <si>
    <t>แยกทางหลวงหมายเลข 4050 - บ้านจงเก</t>
  </si>
  <si>
    <t>แยกทางหลวงหมายเลข 4081 - บ้านฝาละมี</t>
  </si>
  <si>
    <t>แยกทางหลวงหมายเลข 4 - บ้านควนอินนอโม</t>
  </si>
  <si>
    <t>แยกทางหลวงหมายเลข 4 - บ้านศาลาเม็ง</t>
  </si>
  <si>
    <t>แยกทางหลวงหมายเลข 4 - บ้านเขาชัยสน</t>
  </si>
  <si>
    <t>แยกทางหลวงหมายเลข 4 - บ้านป่าแก่</t>
  </si>
  <si>
    <t>แยกทางหลวงชนบท พท.4004 - บ้านบางแก้ว</t>
  </si>
  <si>
    <t>แยกทางหลวงหมายเลข 4 - บ้านหารเทา</t>
  </si>
  <si>
    <t>แยกทางหลวงหมายเลข 4121 - บ้านท่าเชียด</t>
  </si>
  <si>
    <t>แยกทางหลวงหมายเลข 4181 - บ้านชะแล้</t>
  </si>
  <si>
    <t>แยกทางหลวงหมายเลข 4 - น้ำตกไพรวัลย์</t>
  </si>
  <si>
    <t>แยกทางหลวงหมายเลข 4 - บ้านต้นตอ</t>
  </si>
  <si>
    <t>แยกทางหลวงหมายเลข 4 - บ้านเหมืองตะกั่ว</t>
  </si>
  <si>
    <t>แยกทางหลวงหมายเลข 4081 - บ้านควนโก</t>
  </si>
  <si>
    <t>แยกทางหลวงหมายเลข 4138 - บ้านเพ็งอาจ</t>
  </si>
  <si>
    <t>แยกทางหลวงหมายเลข 4 - บ.ถ้ำน้ำเย็น</t>
  </si>
  <si>
    <t>แยกทางหลวงหมายเลข 4049 - บ้านควนพระ</t>
  </si>
  <si>
    <t>แยกทางหลวงชนบท พท.4026 - บ้านเกาะยวน</t>
  </si>
  <si>
    <t>แยกทางหลวงหมายเลข4081 - แก่งหูแร่</t>
  </si>
  <si>
    <t>ประธานกรรมการฯ</t>
  </si>
  <si>
    <t>กรรมการ</t>
  </si>
  <si>
    <t>WIDENING</t>
  </si>
  <si>
    <t>5.2.49</t>
  </si>
  <si>
    <t>ป้าย MAST  ARM พร้อมป้ายเตือนและไฟกระพริบ</t>
  </si>
  <si>
    <t xml:space="preserve">- แผ่นป้ายโครงการติดแผ่นสะท้องแสง Type 9 ขนาด 180x180 ซ.ม.     </t>
  </si>
  <si>
    <t>3.00*0.75 ม.2@ 3,200  บาท/ม.2</t>
  </si>
  <si>
    <t>บาท/แผ่น</t>
  </si>
  <si>
    <t xml:space="preserve">   (อ้างอิงโดยใช้ราคาแผ่นป้ายชนิด น.2, ราคาเฉลี่ยต่อ ตร.ม. 5,040/2.1*0.75  เท่ากับ 3,200 บาท )</t>
  </si>
  <si>
    <t>- ไฟกระพริบชนิด LED พร้อมแผงพลังงานแสงอาทิตย์</t>
  </si>
  <si>
    <t xml:space="preserve">  2 โคม@ 7,500  บาท/โคม</t>
  </si>
  <si>
    <t xml:space="preserve">   (อ้างอิงราคาไฟกระพริบขนาด 0.3 ม. , 120 หลอด ราคา 7,500 บาทต่อโคม)</t>
  </si>
  <si>
    <t>- ฐานรากเสา และเสาเหล็กอาบอะลูมิเนียม</t>
  </si>
  <si>
    <t xml:space="preserve">   (อ้างอิงราคาป้ายแหล่งท่องเที่ยว กระทรวงท่องเที่ยวฯ)</t>
  </si>
  <si>
    <t xml:space="preserve">- ค่างานต้นทุนป้าย MAST ARM พร้อมป้ายเตือนและไฟกระพริบ 2 ดวง </t>
  </si>
  <si>
    <t>คิดให้เป็น</t>
  </si>
  <si>
    <t>ปีงบประมาณ 2560</t>
  </si>
  <si>
    <t>บำรุงรักษาระบบโครงข่ายทาง</t>
  </si>
  <si>
    <t>ซ่อมสร้างผิวทางพาราแอสฟัลท์ติกคอนกรีต</t>
  </si>
  <si>
    <t>จำนวน  1.000  แห่ง</t>
  </si>
  <si>
    <t xml:space="preserve">งานผิวทางและไหล่ทาง  Para Asphaltic concrete  </t>
  </si>
  <si>
    <t xml:space="preserve">งานผิวทางและไหล่ทางพาราแอสฟัลติกคอนกรีตชั้น  Wearing Course                                     </t>
  </si>
  <si>
    <t>ปริมาณ PARA ASPHALTIC CONCRETE ทั้งหมด</t>
  </si>
  <si>
    <t>ปริมาณ PARA ASPHALTIC CONCRETE ที่ใช้คำนวณ</t>
  </si>
  <si>
    <t>ปริมาณ PARA ASPHALTIC CONCRETE</t>
  </si>
  <si>
    <t>ปริมาณ PARA AC 1 ตัน ปูได้</t>
  </si>
  <si>
    <t>ค่าขนส่งอุปกรณ์ PARA AC</t>
  </si>
  <si>
    <t>PARA AC</t>
  </si>
  <si>
    <t>ค่าวัสดุยาง PARA AC</t>
  </si>
  <si>
    <t>ค่าขนส่งยาง PARA AC</t>
  </si>
  <si>
    <t>ค่ายาง PARA AC 5.2% ของปริมาณวัสดุมวลรวม</t>
  </si>
  <si>
    <t>ค่าขนส่ง PARA AC (กำหนดให้ไม่เกินระยะ L/4)</t>
  </si>
  <si>
    <t>ค่าวัสดุยาง PARA</t>
  </si>
  <si>
    <t>ราคาน้ำมันเชื้อเพลิงโซล่า ที่ อ.เมือง 18.00 - 18.99 บาท/ลิตร</t>
  </si>
  <si>
    <t>ราคาน้ำมันเชื้อเพลิงโซล่า ที่ อ.เมือง 19.00 - 19.99 บาท/ลิตร</t>
  </si>
  <si>
    <t>18.00 - 18.99 บาท/ลิตร</t>
  </si>
  <si>
    <t>19.00 - 19.99 บาท/ลิตร</t>
  </si>
  <si>
    <t>ระยะทางดำเนินการ</t>
  </si>
  <si>
    <r>
      <rPr>
        <sz val="14"/>
        <rFont val="TH SarabunPSK"/>
        <family val="2"/>
      </rPr>
      <t xml:space="preserve">ป้าย หมายเลขทางหลวงชนบท (น-1/1) </t>
    </r>
    <r>
      <rPr>
        <sz val="13"/>
        <rFont val="TH SarabunPSK"/>
        <family val="2"/>
      </rPr>
      <t>(ติดตั้งในเขตทางกรมทางหลวง)</t>
    </r>
  </si>
  <si>
    <t>เฉลี่ยราคา กม. ละ</t>
  </si>
  <si>
    <t xml:space="preserve">กม.  </t>
  </si>
  <si>
    <t>เสริมผิวทาง</t>
  </si>
  <si>
    <t>ซ่อมสร้างผิวไหล่ทาง</t>
  </si>
  <si>
    <t>เสริมผิวไหล่ทาง</t>
  </si>
  <si>
    <t xml:space="preserve"> - แบบตัวยูพร้อมฝาปิด (แบบเลขที่ รน-301/56) ชนิด</t>
  </si>
  <si>
    <r>
      <t>งานติดตั้งกล่องลวดบรรจุหินใหญ่</t>
    </r>
    <r>
      <rPr>
        <sz val="13"/>
        <color theme="1"/>
        <rFont val="TH SarabunPSK"/>
        <family val="2"/>
      </rPr>
      <t xml:space="preserve"> (Gabion)</t>
    </r>
    <r>
      <rPr>
        <sz val="14"/>
        <color theme="1"/>
        <rFont val="TH SarabunPSK"/>
        <family val="2"/>
      </rPr>
      <t xml:space="preserve"> และแผ่นใยสังเคราะห์</t>
    </r>
    <r>
      <rPr>
        <sz val="13"/>
        <color theme="1"/>
        <rFont val="TH SarabunPSK"/>
        <family val="2"/>
      </rPr>
      <t xml:space="preserve"> (Geotextile)</t>
    </r>
  </si>
  <si>
    <t>แบบฟอร์มสรุปผลประมาณราคางานก่อสร้าง</t>
  </si>
  <si>
    <t>ป้าย ชุดบอกรายละเอียดทางแยก (2-น-4)</t>
  </si>
  <si>
    <t>5.2.50</t>
  </si>
  <si>
    <t>6.หิน</t>
  </si>
  <si>
    <t>7.เหล็กเสริม</t>
  </si>
  <si>
    <t>7.1.สำนักดัชนีเศรษฐกิจการค้า กรุงเทพมหานคร</t>
  </si>
  <si>
    <t>7.2.สำนักงานพาณิชย์ จังหวัดพัทลุง</t>
  </si>
  <si>
    <t>8.เหล็กตะแกรง WIRE MESH</t>
  </si>
  <si>
    <t>8.1.สำนักดัชนีเศรษฐกิจการค้า กรุงเทพมหานคร</t>
  </si>
  <si>
    <t>8.2.ห้างหุ้นส่วนจำกัด มังกรทองวัสดุก่อสร้าง</t>
  </si>
  <si>
    <t>9.ลวดอัดแรง</t>
  </si>
  <si>
    <t>9.1. สำนักดัชนีเศรษฐกิจการค้า กรุงเทพมหานคร</t>
  </si>
  <si>
    <t>9.2. สำนักงานพาณิชย์ จังหวัดพัทลุง</t>
  </si>
  <si>
    <t>10.ลวดผูกเหล็ก ศก. 1.25 มม. (เบอร์ 18)</t>
  </si>
  <si>
    <t>11.ตะปูขนาด 3 นิ้ว</t>
  </si>
  <si>
    <t>12.ท่อ คสล. คุณภาพชั้น 3</t>
  </si>
  <si>
    <t>12.3.ร้าน</t>
  </si>
  <si>
    <t xml:space="preserve">12.1 ปูนซีเมนต์ปอร์ตแลนด์ </t>
  </si>
  <si>
    <t>12.1 ปูนซีเมนต์ผสม</t>
  </si>
  <si>
    <t>12.2  ปูนขาว</t>
  </si>
  <si>
    <t>2.6.1</t>
  </si>
  <si>
    <t>2.6.2</t>
  </si>
  <si>
    <t>2.6.3</t>
  </si>
  <si>
    <t>2.6.4</t>
  </si>
  <si>
    <t>2.6.5</t>
  </si>
  <si>
    <t>2.6.6</t>
  </si>
  <si>
    <t>Para Slurry Seal</t>
  </si>
  <si>
    <t>Slurry Seal</t>
  </si>
  <si>
    <t>งานผิวทางและไหล่ทาง Para Slurry Seal Type 3</t>
  </si>
  <si>
    <t>N=(ค่าแรงงาน+1/108(1.59+0.01450Cs+1.21550X+0.25779Ys+1.85D)))</t>
  </si>
  <si>
    <t>X=ราคาหิน+ค่าขนส่ง</t>
  </si>
  <si>
    <t>Cs=ราคาปูนซีเมนต์+ค่าขนส่ง</t>
  </si>
  <si>
    <t xml:space="preserve"> บาท/ลบ.ม.</t>
  </si>
  <si>
    <t>CSS-1h (EMA)</t>
  </si>
  <si>
    <t>Ys=ราคายาง CSS-1h (EMA)+ค่าขนส่ง</t>
  </si>
  <si>
    <t>D=ค่าขนส่ง 1/4 ของระยะทางดำเนินการ    =</t>
  </si>
  <si>
    <t>ใช้หิน 3/8 และหินฝุ่น</t>
  </si>
  <si>
    <t>หมายเหตุ  - ค่าแรงผูกเหล็กใช้ตามบัญชีค่าแรงงาน/ดำเนินการสำหรับถอดแบบคำนวณราคากลางงานก่อสร้าง ฉบับปรับปรุง เดือนมีนาคม 2558</t>
  </si>
  <si>
    <t xml:space="preserve"> - แบบตัววี แบบ รน-303/56</t>
  </si>
  <si>
    <t>(แบบที่ 1)</t>
  </si>
  <si>
    <t>2.1.8</t>
  </si>
  <si>
    <t>2.1.9</t>
  </si>
  <si>
    <t>2.1.10</t>
  </si>
  <si>
    <t>งานดินถมหลังท่อ</t>
  </si>
  <si>
    <t>ท่อลอดเหลี่ยมชนิดหล่อสำเร็จขนาด</t>
  </si>
  <si>
    <t>ค่ายกประกอบติดตั้งท่อลอดเหลี่ยมชนิดหล่อสำเร็จ</t>
  </si>
  <si>
    <t xml:space="preserve"> - คอนกรีต ค.2 สำหรับกำแพงปากท่อและทับหลัง</t>
  </si>
  <si>
    <t xml:space="preserve"> - คอนกรีต ค.3 สำหรับท่อลอดเหลี่ยมชนิดหล่อในที่ (ต่อเชื่อมกำแพงปากท่อ)</t>
  </si>
  <si>
    <t>ราคาต้นทุนต่อเมตร</t>
  </si>
  <si>
    <t>[20]=[1]+[2]+…..+[18]+[19]</t>
  </si>
  <si>
    <t>กำหนดราคาต้นทุน</t>
  </si>
  <si>
    <t>งานท่อลอดเหลี่ยม  คสล.</t>
  </si>
  <si>
    <t>งานรองพื้นทาง (ลูกรังบดอัดแน่น)                ( ลูกรังหนา</t>
  </si>
  <si>
    <t>[19]</t>
  </si>
  <si>
    <t>[16] (จากบัญชีค่าแรงงานฯ)</t>
  </si>
  <si>
    <t>[17]</t>
  </si>
  <si>
    <t>[18]</t>
  </si>
  <si>
    <t>12.1.ร้าน</t>
  </si>
  <si>
    <t>ห้างหุ้นส่วนจำกัด หัวหรั่งคอนกรีต</t>
  </si>
  <si>
    <t>6.2 โรงโม่หิน</t>
  </si>
  <si>
    <t>6.1 โรงโม่หิน</t>
  </si>
  <si>
    <t>6.3 โรงโม่หิน</t>
  </si>
  <si>
    <t>หจก.เอเซียพัทลุงวิศวกรรม</t>
  </si>
  <si>
    <t>13.1.ร้าน</t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</si>
  <si>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1.20 x 1.20 x 1.00 ม.</t>
    </r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</si>
  <si>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1.50 x 1.50 x 1.00 ม.</t>
    </r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</si>
  <si>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1.80 x 1.50 x 1.00 ม.</t>
    </r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</si>
  <si>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1.80 x 1.80 x 1.00 ม.</t>
    </r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</si>
  <si>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2.10 x 2.10 x 1.00 ม.</t>
    </r>
  </si>
  <si>
    <r>
      <t xml:space="preserve"> -</t>
    </r>
    <r>
      <rPr>
        <sz val="12"/>
        <color theme="1"/>
        <rFont val="BankGothic Lt BT"/>
        <family val="2"/>
      </rPr>
      <t>Ø</t>
    </r>
    <r>
      <rPr>
        <sz val="12"/>
        <color theme="1"/>
        <rFont val="TH SarabunPSK"/>
        <family val="2"/>
      </rPr>
      <t xml:space="preserve"> 2.10 x 1.80 x 1.00 ม.</t>
    </r>
  </si>
  <si>
    <t>บริษัท อาคเนย์ คอนกรีต จำกัด</t>
  </si>
  <si>
    <t>13.2.ร้าน</t>
  </si>
  <si>
    <t>13.3.ร้าน</t>
  </si>
  <si>
    <t>14.ปูนซีเมนต์ปอร์ตแลนด์</t>
  </si>
  <si>
    <t>14.1. สำนักงานพาณิชย์ จังหวัดพัทลุง</t>
  </si>
  <si>
    <t>14.2. ห้างหุ้นส่วนจำกัด มังกรทองวัสดุก่อสร้าง</t>
  </si>
  <si>
    <t>15.คอนกรีตผสมเสร็จ</t>
  </si>
  <si>
    <t>15.1.สำนักงานพาณิชย์ จังหวัดพัทลุง</t>
  </si>
  <si>
    <t>15.2.ร้าน</t>
  </si>
  <si>
    <t>16.ไม้แบบ</t>
  </si>
  <si>
    <t>17.ยางแอสฟัลต์</t>
  </si>
  <si>
    <t>17.1.สำนักดัชนีเศรษฐกิจการค้า กรุงเทพมหานคร ถึง อ.ศรีราชา จ.ชลบุรี</t>
  </si>
  <si>
    <t>17.2.สำนักดัชนีเศรษฐกิจการค้า กรุงเทพมหานคร ถึง หน้างาน</t>
  </si>
  <si>
    <t>17.3.อ.ศรีราชา จ.ชลบุรี ถึง หน้างาน</t>
  </si>
  <si>
    <t>18.กล่องลวดบรรจุหินใหญ่ (GABION) และแผ่นใยสังเคราะห์ (Geotextile)</t>
  </si>
  <si>
    <t>18.1.บริษัท สยามเกเบียน จำกัด เขตดินแดง กรุงเทพฯ</t>
  </si>
  <si>
    <t>18.2.บริษัท สยามโอพูเล็น กรุ๊ป อินเตอร์เนชั่นแนล ซอซซิ่ง จำกัด อ.หาดใหญ่ จ.สงขลา</t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</si>
  <si>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1.20 x 1.20 x 1.00 ม.</t>
    </r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</si>
  <si>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1.50 x 1.50 x 1.00 ม.</t>
    </r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</si>
  <si>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1.80 x 1.50 x 1.00 ม.</t>
    </r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</si>
  <si>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1.80 x 1.80 x 1.00 ม.</t>
    </r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</si>
  <si>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2.10 x 1.80 x 1.00 ม.</t>
    </r>
  </si>
  <si>
    <r>
      <t xml:space="preserve"> -</t>
    </r>
    <r>
      <rPr>
        <sz val="14"/>
        <color theme="1"/>
        <rFont val="BankGothic Lt BT"/>
        <family val="2"/>
      </rPr>
      <t>Ø</t>
    </r>
    <r>
      <rPr>
        <sz val="14"/>
        <color theme="1"/>
        <rFont val="TH SarabunPSK"/>
        <family val="2"/>
      </rPr>
      <t xml:space="preserve"> 2.10 x 2.10 x 1.00 ม.</t>
    </r>
  </si>
  <si>
    <t>13.ท่อสี่เหลี่ยมสำเร็จรูป มอก.1166-2536</t>
  </si>
  <si>
    <t>ท่อสี่เหลี่ยมสำเร็จรูป มอก.1166-2536</t>
  </si>
  <si>
    <t>สำนักดัชนีเศรษฐกิจการค้า กรุงเทพมหานคร</t>
  </si>
  <si>
    <t>หจก.พัทลุงสิทธิชัยวัสดุก่อสร้าง อ.เมือง จ.พัทลุง</t>
  </si>
  <si>
    <t>หจก. มังกรทองวัสดุก่อสร้าง</t>
  </si>
  <si>
    <t>ร้านพัทลุงสหไทย</t>
  </si>
  <si>
    <t>ป้าย ชุดบอกรายละเอียดทางแยก (1-น-4)</t>
  </si>
  <si>
    <t>ท่อลอดกลม คสล. ขนาด Ø 0.30 เมตร</t>
  </si>
  <si>
    <t>ท่อลอดกลม คสล. ขนาด Ø 1.50 เมตร</t>
  </si>
  <si>
    <t xml:space="preserve">นางสาวพันธุ์ทิพย์ </t>
  </si>
  <si>
    <t>ทองเดช</t>
  </si>
  <si>
    <t>นายบุญภาศ</t>
  </si>
  <si>
    <t>ทองฤทธิ์นุ่น</t>
  </si>
  <si>
    <t>ผู้อำนวยการกองช่าง</t>
  </si>
  <si>
    <t>นายกเทศมนตรีตำบลหนองพ้อ</t>
  </si>
  <si>
    <t>หนูจีนเส้ง</t>
  </si>
  <si>
    <t>นายสุพัฒน์</t>
  </si>
  <si>
    <t>อนุมัติ</t>
  </si>
  <si>
    <t>เทศบาลตำบลหนองพ้อ</t>
  </si>
  <si>
    <t>กองช่าง</t>
  </si>
  <si>
    <t>กรมส่งเสริมปกครองท้องถิ่น</t>
  </si>
  <si>
    <t>กระทรวงมหาดไทย</t>
  </si>
  <si>
    <t>ตำบลควนขนุน อำเภอควนขนุน  จังหวัดพัทลุง</t>
  </si>
  <si>
    <t>ก่อสร้างผิวทาง</t>
  </si>
  <si>
    <t>ท่อลอดกลม คสล. ขนาด Ø 1.00 เมตร +พร้อมเรียงหินยาแนวปากท่อ</t>
  </si>
  <si>
    <t>นายช่างเขียนแบบ อาวุโส</t>
  </si>
  <si>
    <t>นางรุจิรา</t>
  </si>
  <si>
    <t>กลับแป้น</t>
  </si>
  <si>
    <t>รองปลัดเทศบาล</t>
  </si>
  <si>
    <t xml:space="preserve">  %</t>
  </si>
  <si>
    <t>แบบ บ.33</t>
  </si>
  <si>
    <t>แบบ ต.14</t>
  </si>
  <si>
    <t>งานขุดรื้อผิวทางและไหล่ทางเดิม แล้วบดอัดแน่น</t>
  </si>
  <si>
    <t xml:space="preserve">ค่าดำเนินการ  +  ค่าเสื่อม  รื้อผิวทางเดิมหนา 15  ซม. </t>
  </si>
  <si>
    <t>คิดจากความหนาของผิวทางแอสฟัลท์คอนกรีต  = 5  ซม.</t>
  </si>
  <si>
    <t>ชนิดผิวทาง</t>
  </si>
  <si>
    <t>หินคลุกงานซ่อมหลุม บดอัดแน่น</t>
  </si>
  <si>
    <t>อื่น</t>
  </si>
  <si>
    <t>ป้ายโครงการ</t>
  </si>
  <si>
    <t>งานผิวทางแบบเซอร์เฟซทรีตเมนต์ชั้นเดียว (S.S.T. )</t>
  </si>
  <si>
    <t>หมายเหตุ  - ค่าแรงไม้แบบใช้ตามบัญชีค่าแรงงาน/ดำเนินการสำหรับถอดแบบคำนวณราคากลางงานก่อสร้าง ฉบับปรับปรุง เดือนตุลาคม 2561</t>
  </si>
  <si>
    <t xml:space="preserve">  ลงชื่อ……...…….......................เห็นชอบ</t>
  </si>
  <si>
    <t xml:space="preserve">     ปลัดเทศบาลตำบลหนองพ้อ</t>
  </si>
  <si>
    <t xml:space="preserve">  ลงชื่อ…....…….............……………อนุมัติ</t>
  </si>
  <si>
    <t xml:space="preserve">    (นายสุพัฒน์  หนูจีนเส้ง )</t>
  </si>
  <si>
    <t xml:space="preserve">     นายกเทศมนตรีตำบลหนองพ้อ</t>
  </si>
  <si>
    <t xml:space="preserve">         (นางรุจิรา กลับแป้น  )     </t>
  </si>
  <si>
    <t xml:space="preserve"> รองปลัดเทศบาล  รักษาราชการแทน</t>
  </si>
  <si>
    <t>ซ่อมแซมผิวทางแบบเซอร์เฟซทรีตเมนต์ชั้นเดียว S.S.T.  สายป่าตอ-ใสขรบ   หมู่ที่ 5</t>
  </si>
  <si>
    <t>ชื่อสายทาง               ป่าตอ-ใสขรบ</t>
  </si>
  <si>
    <t>หินคลุกบดอัดแน่นเสริมพื้นทาง  30%</t>
  </si>
  <si>
    <t>ประธานกรรมการ</t>
  </si>
  <si>
    <t>(นายบุญภาศ  ทองฤทธิ์นุ่น  )</t>
  </si>
  <si>
    <t>(น.ส.พันธุ์ทิพย์ ทองเดช )</t>
  </si>
  <si>
    <t>(นายปรีชา มณีนิล )</t>
  </si>
</sst>
</file>

<file path=xl/styles.xml><?xml version="1.0" encoding="utf-8"?>
<styleSheet xmlns="http://schemas.openxmlformats.org/spreadsheetml/2006/main">
  <numFmts count="47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.00_);_(* \(#,##0.00\);_(* &quot;-&quot;??_);_(@_)"/>
    <numFmt numFmtId="188" formatCode="0.000"/>
    <numFmt numFmtId="189" formatCode="_-* #,##0.0000_-;\-* #,##0.0000_-;_-* &quot;-&quot;????_-;_-@_-"/>
    <numFmt numFmtId="190" formatCode="General_)"/>
    <numFmt numFmtId="191" formatCode="0.0000"/>
    <numFmt numFmtId="192" formatCode="#,##0.00_ ;\-#,##0.00\ "/>
    <numFmt numFmtId="193" formatCode="#,##0.0_ ;\-#,##0.0\ "/>
    <numFmt numFmtId="194" formatCode="_-* #,##0.0000_-;\-* #,##0.0000_-;_-* &quot;-&quot;??_-;_-@_-"/>
    <numFmt numFmtId="195" formatCode="#,##0.0000"/>
    <numFmt numFmtId="196" formatCode="dd\-mmm\-yy_)"/>
    <numFmt numFmtId="197" formatCode="#,##0.00&quot; &quot;"/>
    <numFmt numFmtId="198" formatCode="_(* #,##0.0000_);_(* \(#,##0.0000\);_(* &quot;-&quot;??_);_(@_)"/>
    <numFmt numFmtId="199" formatCode="_-* #,##0.000_-;\-* #,##0.000_-;_-* &quot;-&quot;???_-;_-@_-"/>
    <numFmt numFmtId="200" formatCode="#,##0.00_ ;\-#,##0.00\ ;_-* &quot;-&quot;??_-;_-@_-"/>
    <numFmt numFmtId="201" formatCode="_-* #,##0.000_-;\-* #,##0.000_-;_-* &quot;-&quot;??_-;_-@_-"/>
    <numFmt numFmtId="202" formatCode="#,##0.000_ ;\-#,##0.000\ ;_-* &quot;-&quot;??_-;_-@_-"/>
    <numFmt numFmtId="203" formatCode="#,##0.000"/>
    <numFmt numFmtId="204" formatCode="0\+000.000"/>
    <numFmt numFmtId="205" formatCode="#,##0.0000_ ;\-#,##0.0000\ ;_-* &quot;-&quot;??_-;_-@_-"/>
    <numFmt numFmtId="206" formatCode="#,##0.0000_ ;\-#,##0.0000\ "/>
    <numFmt numFmtId="207" formatCode="0\+000"/>
    <numFmt numFmtId="208" formatCode="_-* #,##0_-;\-* #,##0_-;_-* &quot;-&quot;??_-;_-@_-"/>
    <numFmt numFmtId="209" formatCode="#,##0.000000&quot; &quot;"/>
    <numFmt numFmtId="210" formatCode="dd\-mm\-yy"/>
    <numFmt numFmtId="211" formatCode="#,###&quot;   &quot;"/>
    <numFmt numFmtId="212" formatCode="&quot;฿&quot;\t#,##0_);\(&quot;฿&quot;\t#,##0\)"/>
    <numFmt numFmtId="213" formatCode="\t0.00E+00"/>
    <numFmt numFmtId="214" formatCode="#,##0.0_);\(#,##0.0\)"/>
    <numFmt numFmtId="215" formatCode="_(&quot;$&quot;* #,##0.000_);_(&quot;$&quot;* \(#,##0.000\);_(&quot;$&quot;* &quot;-&quot;??_);_(@_)"/>
    <numFmt numFmtId="216" formatCode="0.0&quot;  &quot;"/>
    <numFmt numFmtId="217" formatCode="&quot;ฃ&quot;#,##0;[Red]\-&quot;ฃ&quot;#,##0"/>
    <numFmt numFmtId="218" formatCode="0.0%"/>
    <numFmt numFmtId="219" formatCode="_-* #,##0.00000_-;\-* #,##0.00000_-;_-* &quot;-&quot;?????_-;_-@_-"/>
    <numFmt numFmtId="220" formatCode="m/d/yy\ hh:mm"/>
    <numFmt numFmtId="221" formatCode="_(&quot;$&quot;* #,##0.0000_);_(&quot;$&quot;* \(#,##0.0000\);_(&quot;$&quot;* &quot;-&quot;??_);_(@_)"/>
    <numFmt numFmtId="222" formatCode="_-0.000_-;\-0.000_-;_-* &quot;-&quot;??_-;_-@_-"/>
    <numFmt numFmtId="223" formatCode="#,##0;\-#,##0;&quot;-&quot;"/>
    <numFmt numFmtId="224" formatCode="#,##0.0"/>
    <numFmt numFmtId="225" formatCode="0\+000.00"/>
    <numFmt numFmtId="226" formatCode="#,##0.00;\-#,##0.00;&quot;-&quot;"/>
    <numFmt numFmtId="227" formatCode="0.0"/>
    <numFmt numFmtId="228" formatCode="_(* #,##0_);_(* \(#,##0\);_(* &quot;-&quot;??_);_(@_)"/>
    <numFmt numFmtId="229" formatCode="[$-D00041E]0"/>
    <numFmt numFmtId="230" formatCode="#,##0_ ;\-#,##0\ ;_-* &quot;-&quot;??_-;_-@_-"/>
  </numFmts>
  <fonts count="15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4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name val="Angsana New"/>
      <family val="1"/>
    </font>
    <font>
      <b/>
      <sz val="16"/>
      <name val="Angsana New"/>
      <family val="1"/>
    </font>
    <font>
      <sz val="12"/>
      <name val="Helv"/>
    </font>
    <font>
      <sz val="14"/>
      <name val="AngsanaUPC"/>
      <family val="1"/>
      <charset val="22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b/>
      <sz val="24"/>
      <color indexed="58"/>
      <name val="Angsana New"/>
      <family val="1"/>
    </font>
    <font>
      <b/>
      <sz val="15"/>
      <color indexed="58"/>
      <name val="Angsana New"/>
      <family val="1"/>
    </font>
    <font>
      <b/>
      <sz val="16"/>
      <color indexed="58"/>
      <name val="Angsana New"/>
      <family val="1"/>
    </font>
    <font>
      <b/>
      <sz val="26"/>
      <color indexed="16"/>
      <name val="Angsana New"/>
      <family val="1"/>
    </font>
    <font>
      <b/>
      <sz val="18"/>
      <name val="Angsana New"/>
      <family val="1"/>
    </font>
    <font>
      <sz val="14"/>
      <name val="AngsanaUPC"/>
      <family val="1"/>
    </font>
    <font>
      <b/>
      <sz val="14"/>
      <name val="AngsanaUPC"/>
      <family val="1"/>
      <charset val="222"/>
    </font>
    <font>
      <sz val="14"/>
      <color rgb="FFFF0000"/>
      <name val="Angsana New"/>
      <family val="1"/>
    </font>
    <font>
      <sz val="13"/>
      <name val="Angsana New"/>
      <family val="1"/>
    </font>
    <font>
      <sz val="12"/>
      <name val="Angsana New"/>
      <family val="1"/>
    </font>
    <font>
      <sz val="11"/>
      <name val="Angsana New"/>
      <family val="1"/>
    </font>
    <font>
      <b/>
      <sz val="8"/>
      <color indexed="81"/>
      <name val="Tahoma"/>
      <family val="2"/>
    </font>
    <font>
      <sz val="16"/>
      <name val="Angsana New"/>
      <family val="1"/>
    </font>
    <font>
      <sz val="14"/>
      <name val="SV Rojchana"/>
    </font>
    <font>
      <sz val="10"/>
      <name val="Helv"/>
      <family val="2"/>
    </font>
    <font>
      <sz val="16"/>
      <name val="DilleniaUPC"/>
      <family val="1"/>
      <charset val="222"/>
    </font>
    <font>
      <sz val="11"/>
      <name val="?? ?????"/>
      <family val="3"/>
      <charset val="255"/>
    </font>
    <font>
      <sz val="11"/>
      <name val="??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11"/>
      <color indexed="9"/>
      <name val="Cordia New"/>
      <family val="2"/>
      <charset val="222"/>
    </font>
    <font>
      <sz val="11"/>
      <color indexed="8"/>
      <name val="Cordia New"/>
      <family val="2"/>
      <charset val="222"/>
    </font>
    <font>
      <sz val="11"/>
      <color indexed="16"/>
      <name val="Cordia New"/>
      <family val="2"/>
      <charset val="222"/>
    </font>
    <font>
      <sz val="12"/>
      <name val="Times New Roman"/>
      <family val="1"/>
    </font>
    <font>
      <sz val="12"/>
      <name val="????"/>
      <charset val="136"/>
    </font>
    <font>
      <b/>
      <sz val="11"/>
      <color indexed="53"/>
      <name val="Cordia New"/>
      <family val="2"/>
      <charset val="222"/>
    </font>
    <font>
      <b/>
      <sz val="11"/>
      <color indexed="9"/>
      <name val="Cordia New"/>
      <family val="2"/>
      <charset val="222"/>
    </font>
    <font>
      <sz val="12"/>
      <name val="EucrosiaUPC"/>
      <family val="1"/>
    </font>
    <font>
      <sz val="10"/>
      <color indexed="8"/>
      <name val="Arial"/>
      <family val="2"/>
    </font>
    <font>
      <b/>
      <sz val="11"/>
      <color indexed="8"/>
      <name val="Cordia New"/>
      <family val="2"/>
      <charset val="222"/>
    </font>
    <font>
      <sz val="11"/>
      <color indexed="17"/>
      <name val="Cordia New"/>
      <family val="2"/>
      <charset val="22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62"/>
      <name val="Cordia New"/>
      <family val="2"/>
      <charset val="222"/>
    </font>
    <font>
      <b/>
      <sz val="13"/>
      <color indexed="62"/>
      <name val="Cordia New"/>
      <family val="2"/>
      <charset val="222"/>
    </font>
    <font>
      <b/>
      <sz val="11"/>
      <color indexed="62"/>
      <name val="Cordia New"/>
      <family val="2"/>
      <charset val="222"/>
    </font>
    <font>
      <u/>
      <sz val="16"/>
      <color theme="10"/>
      <name val="Angsana New"/>
      <family val="2"/>
      <charset val="222"/>
    </font>
    <font>
      <sz val="11"/>
      <color indexed="62"/>
      <name val="Cordia New"/>
      <family val="2"/>
      <charset val="222"/>
    </font>
    <font>
      <sz val="11"/>
      <color indexed="53"/>
      <name val="Cordia New"/>
      <family val="2"/>
      <charset val="222"/>
    </font>
    <font>
      <sz val="11"/>
      <color indexed="60"/>
      <name val="Cordia New"/>
      <family val="2"/>
      <charset val="222"/>
    </font>
    <font>
      <sz val="7"/>
      <name val="Small Fonts"/>
      <family val="2"/>
    </font>
    <font>
      <sz val="10"/>
      <name val="Courier"/>
      <family val="3"/>
    </font>
    <font>
      <b/>
      <sz val="11"/>
      <color indexed="63"/>
      <name val="Cordia New"/>
      <family val="2"/>
      <charset val="222"/>
    </font>
    <font>
      <sz val="14"/>
      <name val="Cordia New"/>
      <family val="3"/>
    </font>
    <font>
      <b/>
      <i/>
      <sz val="18"/>
      <color indexed="28"/>
      <name val="AngsanaUPC"/>
      <family val="1"/>
    </font>
    <font>
      <b/>
      <sz val="18"/>
      <color indexed="62"/>
      <name val="Angsana New"/>
      <family val="2"/>
      <charset val="222"/>
    </font>
    <font>
      <b/>
      <sz val="24"/>
      <name val="AngsanaUPC"/>
      <family val="1"/>
      <charset val="222"/>
    </font>
    <font>
      <sz val="11"/>
      <color indexed="10"/>
      <name val="Cordia New"/>
      <family val="2"/>
      <charset val="222"/>
    </font>
    <font>
      <sz val="10"/>
      <color indexed="8"/>
      <name val="Cordia New"/>
      <family val="2"/>
    </font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</font>
    <font>
      <sz val="10"/>
      <name val="Arial"/>
      <family val="2"/>
      <charset val="222"/>
    </font>
    <font>
      <b/>
      <sz val="14"/>
      <color indexed="81"/>
      <name val="TH SarabunPSK"/>
      <family val="2"/>
    </font>
    <font>
      <b/>
      <sz val="16"/>
      <color indexed="81"/>
      <name val="TH SarabunPSK"/>
      <family val="2"/>
    </font>
    <font>
      <u/>
      <sz val="14"/>
      <color theme="10"/>
      <name val="AngsanaUPC"/>
      <family val="1"/>
      <charset val="222"/>
    </font>
    <font>
      <sz val="11"/>
      <color indexed="8"/>
      <name val="Tahoma"/>
      <family val="2"/>
    </font>
    <font>
      <sz val="11"/>
      <color indexed="8"/>
      <name val="Calibri"/>
      <family val="2"/>
    </font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sz val="14"/>
      <color rgb="FF0000FF"/>
      <name val="Angsana New"/>
      <family val="1"/>
    </font>
    <font>
      <sz val="14"/>
      <color indexed="12"/>
      <name val="Angsana New"/>
      <family val="1"/>
    </font>
    <font>
      <sz val="14"/>
      <color rgb="FF0000CC"/>
      <name val="Angsana New"/>
      <family val="1"/>
    </font>
    <font>
      <sz val="14"/>
      <color indexed="61"/>
      <name val="Angsana New"/>
      <family val="1"/>
    </font>
    <font>
      <sz val="14"/>
      <color indexed="62"/>
      <name val="Angsana New"/>
      <family val="1"/>
    </font>
    <font>
      <sz val="14"/>
      <color indexed="10"/>
      <name val="Angsana New"/>
      <family val="1"/>
    </font>
    <font>
      <sz val="11"/>
      <color theme="1"/>
      <name val="Angsana New"/>
      <family val="1"/>
    </font>
    <font>
      <sz val="16"/>
      <color rgb="FF0000FF"/>
      <name val="Angsana New"/>
      <family val="1"/>
    </font>
    <font>
      <sz val="16"/>
      <color rgb="FF0000CC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b/>
      <sz val="24"/>
      <name val="Angsana New"/>
      <family val="1"/>
    </font>
    <font>
      <b/>
      <sz val="14"/>
      <color indexed="18"/>
      <name val="Angsana New"/>
      <family val="1"/>
    </font>
    <font>
      <b/>
      <sz val="14"/>
      <color indexed="62"/>
      <name val="Angsana New"/>
      <family val="1"/>
    </font>
    <font>
      <b/>
      <sz val="14"/>
      <color indexed="21"/>
      <name val="Angsana New"/>
      <family val="1"/>
    </font>
    <font>
      <b/>
      <sz val="14"/>
      <color indexed="10"/>
      <name val="Angsana New"/>
      <family val="1"/>
    </font>
    <font>
      <b/>
      <sz val="14"/>
      <color indexed="12"/>
      <name val="Angsana New"/>
      <family val="1"/>
    </font>
    <font>
      <b/>
      <sz val="13"/>
      <name val="Angsana New"/>
      <family val="1"/>
    </font>
    <font>
      <b/>
      <sz val="14"/>
      <color indexed="58"/>
      <name val="Angsana New"/>
      <family val="1"/>
    </font>
    <font>
      <b/>
      <sz val="13"/>
      <color indexed="10"/>
      <name val="Angsana New"/>
      <family val="1"/>
    </font>
    <font>
      <b/>
      <sz val="13"/>
      <color indexed="62"/>
      <name val="Angsana New"/>
      <family val="1"/>
    </font>
    <font>
      <b/>
      <sz val="13"/>
      <color indexed="17"/>
      <name val="Angsana New"/>
      <family val="1"/>
    </font>
    <font>
      <sz val="13"/>
      <color indexed="18"/>
      <name val="Angsana New"/>
      <family val="1"/>
    </font>
    <font>
      <sz val="12"/>
      <color indexed="18"/>
      <name val="Angsana New"/>
      <family val="1"/>
    </font>
    <font>
      <b/>
      <sz val="13"/>
      <color indexed="18"/>
      <name val="Angsana New"/>
      <family val="1"/>
    </font>
    <font>
      <b/>
      <sz val="12"/>
      <name val="Angsana New"/>
      <family val="1"/>
    </font>
    <font>
      <b/>
      <sz val="20"/>
      <name val="Angsana New"/>
      <family val="1"/>
    </font>
    <font>
      <b/>
      <sz val="15"/>
      <color indexed="16"/>
      <name val="Angsana New"/>
      <family val="1"/>
    </font>
    <font>
      <b/>
      <sz val="15"/>
      <color indexed="10"/>
      <name val="Angsana New"/>
      <family val="1"/>
    </font>
    <font>
      <b/>
      <sz val="15"/>
      <color indexed="62"/>
      <name val="Angsana New"/>
      <family val="1"/>
    </font>
    <font>
      <b/>
      <sz val="8"/>
      <name val="Angsana New"/>
      <family val="1"/>
    </font>
    <font>
      <b/>
      <sz val="14"/>
      <color indexed="60"/>
      <name val="Angsana New"/>
      <family val="1"/>
    </font>
    <font>
      <b/>
      <u/>
      <sz val="12"/>
      <name val="Angsana New"/>
      <family val="1"/>
    </font>
    <font>
      <sz val="14"/>
      <color indexed="18"/>
      <name val="Angsana New"/>
      <family val="1"/>
    </font>
    <font>
      <u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color theme="1"/>
      <name val="TH SarabunPSK"/>
      <family val="2"/>
    </font>
    <font>
      <b/>
      <sz val="32"/>
      <color theme="1"/>
      <name val="TH SarabunPSK"/>
      <family val="2"/>
    </font>
    <font>
      <b/>
      <sz val="28"/>
      <color theme="1"/>
      <name val="TH SarabunPSK"/>
      <family val="2"/>
    </font>
    <font>
      <b/>
      <sz val="22"/>
      <color theme="1"/>
      <name val="TH SarabunPSK"/>
      <family val="2"/>
    </font>
    <font>
      <b/>
      <sz val="26"/>
      <color theme="1"/>
      <name val="TH SarabunPSK"/>
      <family val="2"/>
    </font>
    <font>
      <b/>
      <sz val="24"/>
      <color theme="1"/>
      <name val="TH SarabunPSK"/>
      <family val="2"/>
    </font>
    <font>
      <b/>
      <u val="singleAccounting"/>
      <sz val="14"/>
      <name val="TH SarabunPSK"/>
      <family val="2"/>
    </font>
    <font>
      <sz val="14"/>
      <color rgb="FFFF0000"/>
      <name val="TH SarabunPSK"/>
      <family val="2"/>
    </font>
    <font>
      <u val="singleAccounting"/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b/>
      <sz val="16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theme="0" tint="-0.14999847407452621"/>
      <name val="TH SarabunPSK"/>
      <family val="2"/>
    </font>
    <font>
      <sz val="14"/>
      <color rgb="FFC00000"/>
      <name val="TH SarabunPSK"/>
      <family val="2"/>
    </font>
    <font>
      <sz val="10"/>
      <color theme="1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4"/>
      <color rgb="FF00B050"/>
      <name val="TH SarabunPSK"/>
      <family val="2"/>
    </font>
    <font>
      <sz val="11"/>
      <name val="TH SarabunPSK"/>
      <family val="2"/>
    </font>
    <font>
      <vertAlign val="superscript"/>
      <sz val="14"/>
      <name val="TH SarabunPSK"/>
      <family val="2"/>
    </font>
    <font>
      <b/>
      <u/>
      <sz val="14"/>
      <name val="TH SarabunPSK"/>
      <family val="2"/>
    </font>
    <font>
      <sz val="16"/>
      <name val="TH SarabunPSK"/>
      <family val="2"/>
    </font>
    <font>
      <b/>
      <u val="doubleAccounting"/>
      <sz val="16"/>
      <name val="TH SarabunPSK"/>
      <family val="2"/>
    </font>
    <font>
      <i/>
      <sz val="16"/>
      <name val="TH SarabunPSK"/>
      <family val="2"/>
    </font>
    <font>
      <sz val="16"/>
      <color theme="1"/>
      <name val="TH SarabunPSK"/>
      <family val="2"/>
    </font>
    <font>
      <u/>
      <sz val="16"/>
      <color theme="10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name val="EucrosiaUPC"/>
      <family val="1"/>
      <charset val="222"/>
    </font>
    <font>
      <u/>
      <sz val="16"/>
      <name val="TH SarabunPSK"/>
      <family val="2"/>
    </font>
    <font>
      <sz val="13.5"/>
      <name val="TH SarabunPSK"/>
      <family val="2"/>
    </font>
    <font>
      <b/>
      <sz val="9"/>
      <color indexed="81"/>
      <name val="Tahoma"/>
      <family val="2"/>
    </font>
    <font>
      <sz val="12"/>
      <color theme="1"/>
      <name val="TH SarabunPSK"/>
      <family val="2"/>
    </font>
    <font>
      <sz val="12"/>
      <color theme="1"/>
      <name val="BankGothic Lt BT"/>
      <family val="2"/>
    </font>
    <font>
      <b/>
      <sz val="13"/>
      <color theme="1"/>
      <name val="TH SarabunPSK"/>
      <family val="2"/>
    </font>
    <font>
      <sz val="14"/>
      <color theme="1"/>
      <name val="BankGothic Lt BT"/>
      <family val="2"/>
    </font>
    <font>
      <b/>
      <sz val="14"/>
      <color theme="0"/>
      <name val="TH SarabunPSK"/>
      <family val="2"/>
    </font>
    <font>
      <sz val="14"/>
      <name val="BrowalliaUPC"/>
      <family val="2"/>
      <charset val="222"/>
    </font>
    <font>
      <sz val="14"/>
      <name val="TH SarabunIT๙"/>
      <family val="2"/>
    </font>
    <font>
      <sz val="16"/>
      <color theme="0"/>
      <name val="Angsana New"/>
      <family val="1"/>
    </font>
    <font>
      <sz val="18"/>
      <name val="Angsana New"/>
      <family val="1"/>
    </font>
    <font>
      <sz val="16"/>
      <name val="TH SarabunIT๙"/>
      <family val="2"/>
    </font>
    <font>
      <sz val="16"/>
      <name val="BrowalliaUPC"/>
      <family val="2"/>
      <charset val="222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theme="9" tint="0.79998168889431442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theme="9"/>
      </bottom>
      <diagonal/>
    </border>
    <border>
      <left/>
      <right/>
      <top style="medium">
        <color theme="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92">
    <xf numFmtId="0" fontId="0" fillId="0" borderId="0"/>
    <xf numFmtId="43" fontId="3" fillId="0" borderId="0" applyFont="0" applyFill="0" applyBorder="0" applyAlignment="0" applyProtection="0"/>
    <xf numFmtId="0" fontId="6" fillId="0" borderId="0"/>
    <xf numFmtId="0" fontId="7" fillId="0" borderId="0"/>
    <xf numFmtId="191" fontId="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9" fillId="0" borderId="0"/>
    <xf numFmtId="43" fontId="10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196" fontId="16" fillId="0" borderId="0"/>
    <xf numFmtId="0" fontId="9" fillId="0" borderId="0"/>
    <xf numFmtId="0" fontId="16" fillId="0" borderId="0"/>
    <xf numFmtId="0" fontId="8" fillId="0" borderId="0"/>
    <xf numFmtId="43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4" fillId="0" borderId="0">
      <alignment vertical="center"/>
    </xf>
    <xf numFmtId="19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4" fontId="25" fillId="0" borderId="0" applyFont="0" applyFill="0" applyBorder="0" applyAlignment="0" applyProtection="0"/>
    <xf numFmtId="212" fontId="26" fillId="0" borderId="0" applyFont="0" applyFill="0" applyBorder="0" applyAlignment="0" applyProtection="0"/>
    <xf numFmtId="213" fontId="26" fillId="0" borderId="0" applyFont="0" applyFill="0" applyBorder="0" applyAlignment="0" applyProtection="0"/>
    <xf numFmtId="211" fontId="7" fillId="0" borderId="0" applyFont="0" applyFill="0" applyBorder="0" applyAlignment="0" applyProtection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0" fontId="28" fillId="0" borderId="0"/>
    <xf numFmtId="0" fontId="29" fillId="0" borderId="0"/>
    <xf numFmtId="9" fontId="9" fillId="20" borderId="0"/>
    <xf numFmtId="0" fontId="30" fillId="18" borderId="7">
      <alignment horizontal="centerContinuous" vertical="top"/>
    </xf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1" fillId="26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31" borderId="0" applyNumberFormat="0" applyBorder="0" applyAlignment="0" applyProtection="0"/>
    <xf numFmtId="0" fontId="32" fillId="25" borderId="0" applyNumberFormat="0" applyBorder="0" applyAlignment="0" applyProtection="0"/>
    <xf numFmtId="0" fontId="32" fillId="32" borderId="0" applyNumberFormat="0" applyBorder="0" applyAlignment="0" applyProtection="0"/>
    <xf numFmtId="0" fontId="31" fillId="32" borderId="0" applyNumberFormat="0" applyBorder="0" applyAlignment="0" applyProtection="0"/>
    <xf numFmtId="0" fontId="33" fillId="33" borderId="0" applyNumberFormat="0" applyBorder="0" applyAlignment="0" applyProtection="0"/>
    <xf numFmtId="0" fontId="9" fillId="0" borderId="0" applyFill="0" applyBorder="0" applyAlignment="0"/>
    <xf numFmtId="214" fontId="25" fillId="0" borderId="0" applyFill="0" applyBorder="0" applyAlignment="0"/>
    <xf numFmtId="0" fontId="34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215" fontId="7" fillId="0" borderId="0" applyFill="0" applyBorder="0" applyAlignment="0"/>
    <xf numFmtId="216" fontId="26" fillId="0" borderId="0" applyFill="0" applyBorder="0" applyAlignment="0"/>
    <xf numFmtId="214" fontId="25" fillId="0" borderId="0" applyFill="0" applyBorder="0" applyAlignment="0"/>
    <xf numFmtId="0" fontId="36" fillId="34" borderId="57" applyNumberFormat="0" applyAlignment="0" applyProtection="0"/>
    <xf numFmtId="0" fontId="37" fillId="27" borderId="58" applyNumberFormat="0" applyAlignment="0" applyProtection="0"/>
    <xf numFmtId="215" fontId="7" fillId="0" borderId="0" applyFont="0" applyFill="0" applyBorder="0" applyAlignment="0" applyProtection="0"/>
    <xf numFmtId="187" fontId="9" fillId="0" borderId="0" applyFont="0" applyFill="0" applyBorder="0" applyAlignment="0" applyProtection="0"/>
    <xf numFmtId="217" fontId="38" fillId="0" borderId="0"/>
    <xf numFmtId="0" fontId="30" fillId="18" borderId="7">
      <alignment horizontal="centerContinuous" vertical="top"/>
    </xf>
    <xf numFmtId="214" fontId="25" fillId="0" borderId="0" applyFont="0" applyFill="0" applyBorder="0" applyAlignment="0" applyProtection="0"/>
    <xf numFmtId="196" fontId="16" fillId="0" borderId="0"/>
    <xf numFmtId="14" fontId="39" fillId="0" borderId="0" applyFill="0" applyBorder="0" applyAlignment="0"/>
    <xf numFmtId="15" fontId="17" fillId="35" borderId="0">
      <alignment horizontal="centerContinuous"/>
    </xf>
    <xf numFmtId="218" fontId="16" fillId="0" borderId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215" fontId="7" fillId="0" borderId="0" applyFill="0" applyBorder="0" applyAlignment="0"/>
    <xf numFmtId="214" fontId="25" fillId="0" borderId="0" applyFill="0" applyBorder="0" applyAlignment="0"/>
    <xf numFmtId="215" fontId="7" fillId="0" borderId="0" applyFill="0" applyBorder="0" applyAlignment="0"/>
    <xf numFmtId="216" fontId="26" fillId="0" borderId="0" applyFill="0" applyBorder="0" applyAlignment="0"/>
    <xf numFmtId="214" fontId="25" fillId="0" borderId="0" applyFill="0" applyBorder="0" applyAlignment="0"/>
    <xf numFmtId="0" fontId="41" fillId="28" borderId="0" applyNumberFormat="0" applyBorder="0" applyAlignment="0" applyProtection="0"/>
    <xf numFmtId="38" fontId="42" fillId="18" borderId="0" applyNumberFormat="0" applyBorder="0" applyAlignment="0" applyProtection="0"/>
    <xf numFmtId="0" fontId="43" fillId="0" borderId="48" applyNumberFormat="0" applyAlignment="0" applyProtection="0">
      <alignment horizontal="left" vertical="center"/>
    </xf>
    <xf numFmtId="0" fontId="43" fillId="0" borderId="16">
      <alignment horizontal="left" vertical="center"/>
    </xf>
    <xf numFmtId="0" fontId="44" fillId="0" borderId="59" applyNumberFormat="0" applyFill="0" applyAlignment="0" applyProtection="0"/>
    <xf numFmtId="0" fontId="45" fillId="0" borderId="60" applyNumberFormat="0" applyFill="0" applyAlignment="0" applyProtection="0"/>
    <xf numFmtId="0" fontId="46" fillId="0" borderId="61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32" borderId="57" applyNumberFormat="0" applyAlignment="0" applyProtection="0"/>
    <xf numFmtId="10" fontId="42" fillId="39" borderId="1" applyNumberFormat="0" applyBorder="0" applyAlignment="0" applyProtection="0"/>
    <xf numFmtId="215" fontId="7" fillId="0" borderId="0" applyFill="0" applyBorder="0" applyAlignment="0"/>
    <xf numFmtId="214" fontId="25" fillId="0" borderId="0" applyFill="0" applyBorder="0" applyAlignment="0"/>
    <xf numFmtId="215" fontId="7" fillId="0" borderId="0" applyFill="0" applyBorder="0" applyAlignment="0"/>
    <xf numFmtId="216" fontId="26" fillId="0" borderId="0" applyFill="0" applyBorder="0" applyAlignment="0"/>
    <xf numFmtId="214" fontId="25" fillId="0" borderId="0" applyFill="0" applyBorder="0" applyAlignment="0"/>
    <xf numFmtId="0" fontId="49" fillId="0" borderId="62" applyNumberFormat="0" applyFill="0" applyAlignment="0" applyProtection="0"/>
    <xf numFmtId="0" fontId="50" fillId="40" borderId="0" applyNumberFormat="0" applyBorder="0" applyAlignment="0" applyProtection="0"/>
    <xf numFmtId="37" fontId="51" fillId="0" borderId="0"/>
    <xf numFmtId="219" fontId="7" fillId="0" borderId="0"/>
    <xf numFmtId="0" fontId="7" fillId="0" borderId="0"/>
    <xf numFmtId="0" fontId="7" fillId="0" borderId="0"/>
    <xf numFmtId="0" fontId="7" fillId="0" borderId="0"/>
    <xf numFmtId="0" fontId="9" fillId="25" borderId="63" applyNumberFormat="0" applyFont="0" applyAlignment="0" applyProtection="0"/>
    <xf numFmtId="0" fontId="9" fillId="25" borderId="63" applyNumberFormat="0" applyFont="0" applyAlignment="0" applyProtection="0"/>
    <xf numFmtId="0" fontId="53" fillId="34" borderId="64" applyNumberFormat="0" applyAlignment="0" applyProtection="0"/>
    <xf numFmtId="0" fontId="54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0" fontId="9" fillId="0" borderId="0" applyFont="0" applyFill="0" applyBorder="0" applyAlignment="0" applyProtection="0"/>
    <xf numFmtId="215" fontId="7" fillId="0" borderId="0" applyFill="0" applyBorder="0" applyAlignment="0"/>
    <xf numFmtId="214" fontId="25" fillId="0" borderId="0" applyFill="0" applyBorder="0" applyAlignment="0"/>
    <xf numFmtId="215" fontId="7" fillId="0" borderId="0" applyFill="0" applyBorder="0" applyAlignment="0"/>
    <xf numFmtId="216" fontId="26" fillId="0" borderId="0" applyFill="0" applyBorder="0" applyAlignment="0"/>
    <xf numFmtId="214" fontId="25" fillId="0" borderId="0" applyFill="0" applyBorder="0" applyAlignment="0"/>
    <xf numFmtId="1" fontId="9" fillId="0" borderId="12" applyNumberFormat="0" applyFill="0" applyAlignment="0" applyProtection="0">
      <alignment horizontal="center" vertical="center"/>
    </xf>
    <xf numFmtId="0" fontId="55" fillId="20" borderId="0"/>
    <xf numFmtId="0" fontId="56" fillId="0" borderId="0" applyNumberFormat="0" applyFill="0" applyBorder="0" applyAlignment="0" applyProtection="0"/>
    <xf numFmtId="49" fontId="39" fillId="0" borderId="0" applyFill="0" applyBorder="0" applyAlignment="0"/>
    <xf numFmtId="0" fontId="35" fillId="0" borderId="0" applyFill="0" applyBorder="0" applyAlignment="0"/>
    <xf numFmtId="0" fontId="35" fillId="0" borderId="0" applyFill="0" applyBorder="0" applyAlignment="0"/>
    <xf numFmtId="3" fontId="57" fillId="0" borderId="65">
      <alignment horizontal="center"/>
    </xf>
    <xf numFmtId="220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218" fontId="5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8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7" fontId="9" fillId="0" borderId="0" applyFill="0" applyBorder="0" applyAlignment="0" applyProtection="0"/>
    <xf numFmtId="43" fontId="6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8" fontId="9" fillId="0" borderId="0" applyFont="0" applyFill="0" applyBorder="0" applyAlignment="0" applyProtection="0"/>
    <xf numFmtId="187" fontId="7" fillId="0" borderId="0" applyFont="0" applyFill="0" applyBorder="0" applyAlignment="0" applyProtection="0"/>
    <xf numFmtId="188" fontId="9" fillId="0" borderId="0" applyFont="0" applyFill="0" applyBorder="0" applyAlignment="0" applyProtection="0"/>
    <xf numFmtId="191" fontId="7" fillId="0" borderId="0" applyFont="0" applyFill="0" applyBorder="0" applyAlignment="0" applyProtection="0"/>
    <xf numFmtId="194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187" fontId="52" fillId="0" borderId="0"/>
    <xf numFmtId="0" fontId="8" fillId="0" borderId="0"/>
    <xf numFmtId="0" fontId="8" fillId="0" borderId="0"/>
    <xf numFmtId="0" fontId="3" fillId="0" borderId="0"/>
    <xf numFmtId="0" fontId="9" fillId="0" borderId="0"/>
    <xf numFmtId="0" fontId="61" fillId="0" borderId="0"/>
    <xf numFmtId="0" fontId="9" fillId="0" borderId="0"/>
    <xf numFmtId="0" fontId="3" fillId="0" borderId="0"/>
    <xf numFmtId="0" fontId="7" fillId="0" borderId="0"/>
    <xf numFmtId="0" fontId="9" fillId="0" borderId="0"/>
    <xf numFmtId="0" fontId="23" fillId="0" borderId="0"/>
    <xf numFmtId="0" fontId="62" fillId="0" borderId="0"/>
    <xf numFmtId="0" fontId="8" fillId="0" borderId="0"/>
    <xf numFmtId="9" fontId="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/>
    <xf numFmtId="43" fontId="67" fillId="0" borderId="0" applyFont="0" applyFill="0" applyBorder="0" applyAlignment="0" applyProtection="0"/>
    <xf numFmtId="0" fontId="8" fillId="0" borderId="0"/>
    <xf numFmtId="0" fontId="68" fillId="0" borderId="0"/>
    <xf numFmtId="0" fontId="8" fillId="0" borderId="0"/>
    <xf numFmtId="0" fontId="1" fillId="0" borderId="0"/>
  </cellStyleXfs>
  <cellXfs count="1794">
    <xf numFmtId="0" fontId="0" fillId="0" borderId="0" xfId="0"/>
    <xf numFmtId="0" fontId="4" fillId="0" borderId="0" xfId="4" applyNumberFormat="1" applyFont="1" applyAlignment="1">
      <alignment horizontal="center"/>
    </xf>
    <xf numFmtId="187" fontId="4" fillId="0" borderId="0" xfId="4" applyNumberFormat="1" applyFont="1" applyAlignment="1" applyProtection="1"/>
    <xf numFmtId="187" fontId="4" fillId="0" borderId="0" xfId="4" applyNumberFormat="1" applyFont="1" applyAlignment="1"/>
    <xf numFmtId="0" fontId="4" fillId="0" borderId="0" xfId="5" applyFont="1"/>
    <xf numFmtId="187" fontId="4" fillId="0" borderId="1" xfId="4" applyNumberFormat="1" applyFont="1" applyBorder="1" applyAlignment="1" applyProtection="1"/>
    <xf numFmtId="0" fontId="4" fillId="0" borderId="3" xfId="4" applyNumberFormat="1" applyFont="1" applyBorder="1" applyAlignment="1">
      <alignment horizontal="center"/>
    </xf>
    <xf numFmtId="187" fontId="4" fillId="0" borderId="11" xfId="4" applyNumberFormat="1" applyFont="1" applyBorder="1" applyAlignment="1"/>
    <xf numFmtId="187" fontId="4" fillId="0" borderId="11" xfId="4" applyNumberFormat="1" applyFont="1" applyBorder="1" applyAlignment="1" applyProtection="1"/>
    <xf numFmtId="0" fontId="4" fillId="0" borderId="12" xfId="4" applyNumberFormat="1" applyFont="1" applyBorder="1" applyAlignment="1">
      <alignment horizontal="center"/>
    </xf>
    <xf numFmtId="187" fontId="4" fillId="0" borderId="13" xfId="4" applyNumberFormat="1" applyFont="1" applyBorder="1" applyAlignment="1" applyProtection="1"/>
    <xf numFmtId="187" fontId="4" fillId="0" borderId="13" xfId="4" applyNumberFormat="1" applyFont="1" applyBorder="1" applyAlignment="1"/>
    <xf numFmtId="43" fontId="4" fillId="0" borderId="0" xfId="5" applyNumberFormat="1" applyFont="1"/>
    <xf numFmtId="0" fontId="4" fillId="0" borderId="0" xfId="5" applyFont="1" applyBorder="1"/>
    <xf numFmtId="0" fontId="4" fillId="0" borderId="8" xfId="4" applyNumberFormat="1" applyFont="1" applyBorder="1" applyAlignment="1">
      <alignment horizontal="center"/>
    </xf>
    <xf numFmtId="187" fontId="4" fillId="0" borderId="15" xfId="4" applyNumberFormat="1" applyFont="1" applyBorder="1" applyAlignment="1"/>
    <xf numFmtId="43" fontId="4" fillId="0" borderId="0" xfId="6" applyFont="1" applyAlignment="1"/>
    <xf numFmtId="0" fontId="4" fillId="0" borderId="0" xfId="6" applyNumberFormat="1" applyFont="1" applyAlignment="1">
      <alignment horizontal="center"/>
    </xf>
    <xf numFmtId="0" fontId="12" fillId="4" borderId="29" xfId="9" applyFont="1" applyFill="1" applyBorder="1" applyAlignment="1">
      <alignment horizontal="center" vertical="top"/>
    </xf>
    <xf numFmtId="0" fontId="12" fillId="4" borderId="30" xfId="9" applyFont="1" applyFill="1" applyBorder="1" applyAlignment="1">
      <alignment horizontal="center" vertical="top"/>
    </xf>
    <xf numFmtId="0" fontId="12" fillId="4" borderId="12" xfId="9" applyFont="1" applyFill="1" applyBorder="1" applyAlignment="1">
      <alignment horizontal="center" vertical="top"/>
    </xf>
    <xf numFmtId="0" fontId="5" fillId="6" borderId="12" xfId="9" applyFont="1" applyFill="1" applyBorder="1" applyAlignment="1">
      <alignment horizontal="center" vertical="top"/>
    </xf>
    <xf numFmtId="4" fontId="4" fillId="0" borderId="13" xfId="4" applyNumberFormat="1" applyFont="1" applyBorder="1" applyAlignment="1" applyProtection="1"/>
    <xf numFmtId="4" fontId="4" fillId="0" borderId="15" xfId="4" applyNumberFormat="1" applyFont="1" applyBorder="1" applyAlignment="1" applyProtection="1"/>
    <xf numFmtId="0" fontId="69" fillId="0" borderId="0" xfId="189" applyFont="1" applyAlignment="1">
      <alignment vertical="center"/>
    </xf>
    <xf numFmtId="0" fontId="70" fillId="0" borderId="0" xfId="189" applyFont="1" applyAlignment="1">
      <alignment vertical="center"/>
    </xf>
    <xf numFmtId="229" fontId="71" fillId="0" borderId="67" xfId="189" quotePrefix="1" applyNumberFormat="1" applyFont="1" applyBorder="1" applyAlignment="1">
      <alignment horizontal="left"/>
    </xf>
    <xf numFmtId="0" fontId="71" fillId="0" borderId="68" xfId="189" applyFont="1" applyBorder="1" applyAlignment="1">
      <alignment horizontal="left"/>
    </xf>
    <xf numFmtId="0" fontId="70" fillId="0" borderId="68" xfId="189" applyFont="1" applyBorder="1" applyAlignment="1"/>
    <xf numFmtId="0" fontId="70" fillId="0" borderId="68" xfId="189" applyFont="1" applyBorder="1" applyAlignment="1">
      <alignment horizontal="left"/>
    </xf>
    <xf numFmtId="0" fontId="70" fillId="0" borderId="69" xfId="189" applyFont="1" applyBorder="1" applyAlignment="1"/>
    <xf numFmtId="0" fontId="70" fillId="0" borderId="0" xfId="189" applyFont="1" applyAlignment="1"/>
    <xf numFmtId="0" fontId="70" fillId="0" borderId="14" xfId="189" applyFont="1" applyBorder="1" applyAlignment="1">
      <alignment horizontal="left" vertical="center" indent="1"/>
    </xf>
    <xf numFmtId="0" fontId="70" fillId="0" borderId="0" xfId="189" applyFont="1" applyBorder="1" applyAlignment="1">
      <alignment horizontal="left" vertical="center"/>
    </xf>
    <xf numFmtId="0" fontId="70" fillId="0" borderId="0" xfId="189" applyFont="1" applyBorder="1" applyAlignment="1">
      <alignment vertical="center"/>
    </xf>
    <xf numFmtId="0" fontId="70" fillId="0" borderId="13" xfId="189" applyFont="1" applyBorder="1" applyAlignment="1">
      <alignment vertical="center"/>
    </xf>
    <xf numFmtId="0" fontId="71" fillId="0" borderId="14" xfId="189" applyFont="1" applyBorder="1" applyAlignment="1">
      <alignment horizontal="left" vertical="center" indent="1"/>
    </xf>
    <xf numFmtId="0" fontId="71" fillId="0" borderId="0" xfId="189" applyFont="1" applyBorder="1" applyAlignment="1">
      <alignment horizontal="left" vertical="center"/>
    </xf>
    <xf numFmtId="229" fontId="71" fillId="0" borderId="14" xfId="189" quotePrefix="1" applyNumberFormat="1" applyFont="1" applyBorder="1" applyAlignment="1">
      <alignment horizontal="left" vertical="center" indent="1"/>
    </xf>
    <xf numFmtId="0" fontId="70" fillId="0" borderId="0" xfId="189" applyFont="1" applyBorder="1" applyAlignment="1">
      <alignment horizontal="right" vertical="center"/>
    </xf>
    <xf numFmtId="0" fontId="70" fillId="11" borderId="0" xfId="189" applyFont="1" applyFill="1" applyBorder="1" applyAlignment="1">
      <alignment horizontal="left" vertical="center"/>
    </xf>
    <xf numFmtId="0" fontId="70" fillId="11" borderId="0" xfId="189" applyFont="1" applyFill="1" applyBorder="1" applyAlignment="1">
      <alignment vertical="center"/>
    </xf>
    <xf numFmtId="0" fontId="70" fillId="11" borderId="13" xfId="189" applyFont="1" applyFill="1" applyBorder="1" applyAlignment="1">
      <alignment vertical="center"/>
    </xf>
    <xf numFmtId="0" fontId="72" fillId="0" borderId="0" xfId="189" applyFont="1" applyBorder="1" applyAlignment="1">
      <alignment horizontal="left" vertical="center"/>
    </xf>
    <xf numFmtId="0" fontId="70" fillId="0" borderId="0" xfId="189" quotePrefix="1" applyFont="1" applyBorder="1" applyAlignment="1">
      <alignment horizontal="left" vertical="center"/>
    </xf>
    <xf numFmtId="0" fontId="71" fillId="0" borderId="0" xfId="189" applyFont="1" applyBorder="1" applyAlignment="1">
      <alignment vertical="center"/>
    </xf>
    <xf numFmtId="14" fontId="70" fillId="0" borderId="0" xfId="189" applyNumberFormat="1" applyFont="1" applyBorder="1" applyAlignment="1">
      <alignment horizontal="left" vertical="center"/>
    </xf>
    <xf numFmtId="229" fontId="71" fillId="0" borderId="14" xfId="189" applyNumberFormat="1" applyFont="1" applyBorder="1" applyAlignment="1">
      <alignment horizontal="left" vertical="center" indent="1"/>
    </xf>
    <xf numFmtId="227" fontId="70" fillId="0" borderId="0" xfId="189" applyNumberFormat="1" applyFont="1" applyBorder="1" applyAlignment="1">
      <alignment horizontal="left" vertical="center"/>
    </xf>
    <xf numFmtId="0" fontId="70" fillId="0" borderId="9" xfId="189" applyFont="1" applyBorder="1" applyAlignment="1">
      <alignment horizontal="left" vertical="center" indent="1"/>
    </xf>
    <xf numFmtId="0" fontId="70" fillId="0" borderId="10" xfId="189" applyFont="1" applyBorder="1" applyAlignment="1">
      <alignment horizontal="left" vertical="center" indent="1"/>
    </xf>
    <xf numFmtId="0" fontId="70" fillId="0" borderId="10" xfId="189" applyFont="1" applyBorder="1" applyAlignment="1">
      <alignment vertical="center"/>
    </xf>
    <xf numFmtId="0" fontId="70" fillId="0" borderId="15" xfId="189" applyFont="1" applyBorder="1" applyAlignment="1">
      <alignment vertical="center"/>
    </xf>
    <xf numFmtId="0" fontId="70" fillId="0" borderId="0" xfId="189" applyFont="1" applyAlignment="1">
      <alignment horizontal="left" vertical="center" indent="1"/>
    </xf>
    <xf numFmtId="0" fontId="4" fillId="0" borderId="0" xfId="4" applyNumberFormat="1" applyFont="1" applyAlignment="1">
      <alignment horizontal="left"/>
    </xf>
    <xf numFmtId="187" fontId="4" fillId="0" borderId="11" xfId="4" applyNumberFormat="1" applyFont="1" applyBorder="1" applyAlignment="1" applyProtection="1">
      <alignment horizontal="center"/>
    </xf>
    <xf numFmtId="187" fontId="4" fillId="0" borderId="13" xfId="4" applyNumberFormat="1" applyFont="1" applyBorder="1" applyAlignment="1" applyProtection="1">
      <alignment horizontal="center"/>
    </xf>
    <xf numFmtId="187" fontId="4" fillId="0" borderId="13" xfId="4" applyNumberFormat="1" applyFont="1" applyBorder="1" applyAlignment="1">
      <alignment horizontal="center"/>
    </xf>
    <xf numFmtId="187" fontId="4" fillId="0" borderId="15" xfId="4" applyNumberFormat="1" applyFont="1" applyBorder="1" applyAlignment="1">
      <alignment horizontal="center"/>
    </xf>
    <xf numFmtId="187" fontId="4" fillId="0" borderId="0" xfId="4" applyNumberFormat="1" applyFont="1" applyAlignment="1">
      <alignment horizontal="right"/>
    </xf>
    <xf numFmtId="187" fontId="4" fillId="0" borderId="10" xfId="4" applyNumberFormat="1" applyFont="1" applyBorder="1" applyAlignment="1"/>
    <xf numFmtId="187" fontId="4" fillId="0" borderId="68" xfId="4" applyNumberFormat="1" applyFont="1" applyBorder="1" applyAlignment="1" applyProtection="1">
      <alignment horizontal="center"/>
    </xf>
    <xf numFmtId="187" fontId="4" fillId="0" borderId="0" xfId="4" applyNumberFormat="1" applyFont="1" applyBorder="1" applyAlignment="1" applyProtection="1">
      <alignment horizontal="center"/>
    </xf>
    <xf numFmtId="187" fontId="4" fillId="0" borderId="0" xfId="4" applyNumberFormat="1" applyFont="1" applyBorder="1" applyAlignment="1">
      <alignment horizontal="center"/>
    </xf>
    <xf numFmtId="187" fontId="4" fillId="0" borderId="10" xfId="4" applyNumberFormat="1" applyFont="1" applyBorder="1" applyAlignment="1">
      <alignment horizontal="center"/>
    </xf>
    <xf numFmtId="187" fontId="4" fillId="0" borderId="69" xfId="4" applyNumberFormat="1" applyFont="1" applyBorder="1" applyAlignment="1" applyProtection="1"/>
    <xf numFmtId="187" fontId="4" fillId="0" borderId="20" xfId="4" applyNumberFormat="1" applyFont="1" applyBorder="1" applyAlignment="1"/>
    <xf numFmtId="187" fontId="4" fillId="0" borderId="28" xfId="4" applyNumberFormat="1" applyFont="1" applyBorder="1" applyAlignment="1"/>
    <xf numFmtId="187" fontId="4" fillId="0" borderId="83" xfId="4" applyNumberFormat="1" applyFont="1" applyBorder="1" applyAlignment="1"/>
    <xf numFmtId="2" fontId="2" fillId="0" borderId="84" xfId="4" applyNumberFormat="1" applyFont="1" applyBorder="1" applyAlignment="1">
      <alignment horizontal="center"/>
    </xf>
    <xf numFmtId="187" fontId="4" fillId="0" borderId="73" xfId="4" applyNumberFormat="1" applyFont="1" applyBorder="1" applyAlignment="1" applyProtection="1"/>
    <xf numFmtId="187" fontId="4" fillId="0" borderId="85" xfId="4" applyNumberFormat="1" applyFont="1" applyBorder="1" applyAlignment="1" applyProtection="1"/>
    <xf numFmtId="2" fontId="2" fillId="0" borderId="42" xfId="4" applyNumberFormat="1" applyFont="1" applyBorder="1" applyAlignment="1">
      <alignment horizontal="center"/>
    </xf>
    <xf numFmtId="187" fontId="4" fillId="0" borderId="1" xfId="4" applyNumberFormat="1" applyFont="1" applyBorder="1" applyAlignment="1" applyProtection="1">
      <alignment horizontal="center"/>
    </xf>
    <xf numFmtId="187" fontId="4" fillId="0" borderId="45" xfId="4" applyNumberFormat="1" applyFont="1" applyBorder="1" applyAlignment="1" applyProtection="1">
      <alignment horizontal="center"/>
    </xf>
    <xf numFmtId="2" fontId="2" fillId="0" borderId="1" xfId="4" applyNumberFormat="1" applyFont="1" applyBorder="1" applyAlignment="1">
      <alignment horizontal="center"/>
    </xf>
    <xf numFmtId="0" fontId="73" fillId="0" borderId="0" xfId="15" applyFont="1" applyFill="1" applyBorder="1" applyAlignment="1">
      <alignment vertical="center"/>
    </xf>
    <xf numFmtId="188" fontId="73" fillId="0" borderId="0" xfId="15" applyNumberFormat="1" applyFont="1" applyFill="1" applyBorder="1" applyAlignment="1">
      <alignment horizontal="center" vertical="center"/>
    </xf>
    <xf numFmtId="224" fontId="73" fillId="8" borderId="0" xfId="16" applyNumberFormat="1" applyFont="1" applyFill="1" applyBorder="1" applyAlignment="1">
      <alignment horizontal="center" vertical="center"/>
    </xf>
    <xf numFmtId="0" fontId="4" fillId="0" borderId="0" xfId="15" applyFont="1" applyBorder="1" applyAlignment="1">
      <alignment vertical="center"/>
    </xf>
    <xf numFmtId="0" fontId="4" fillId="0" borderId="0" xfId="15" applyFont="1" applyFill="1" applyBorder="1" applyAlignment="1">
      <alignment vertical="center"/>
    </xf>
    <xf numFmtId="0" fontId="74" fillId="0" borderId="0" xfId="15" applyFont="1" applyFill="1" applyBorder="1" applyAlignment="1">
      <alignment vertical="center"/>
    </xf>
    <xf numFmtId="0" fontId="18" fillId="0" borderId="0" xfId="15" applyFont="1" applyFill="1" applyBorder="1" applyAlignment="1">
      <alignment vertical="center"/>
    </xf>
    <xf numFmtId="0" fontId="75" fillId="0" borderId="0" xfId="15" applyFont="1" applyFill="1" applyBorder="1" applyAlignment="1">
      <alignment vertical="center"/>
    </xf>
    <xf numFmtId="188" fontId="73" fillId="0" borderId="0" xfId="15" applyNumberFormat="1" applyFont="1" applyFill="1" applyBorder="1" applyAlignment="1">
      <alignment vertical="center"/>
    </xf>
    <xf numFmtId="4" fontId="73" fillId="8" borderId="0" xfId="16" applyNumberFormat="1" applyFont="1" applyFill="1" applyBorder="1" applyAlignment="1">
      <alignment horizontal="center" vertical="center"/>
    </xf>
    <xf numFmtId="2" fontId="73" fillId="8" borderId="0" xfId="15" applyNumberFormat="1" applyFont="1" applyFill="1" applyBorder="1" applyAlignment="1">
      <alignment horizontal="center" vertical="center"/>
    </xf>
    <xf numFmtId="0" fontId="4" fillId="0" borderId="0" xfId="17" applyFont="1" applyAlignment="1">
      <alignment vertical="center"/>
    </xf>
    <xf numFmtId="0" fontId="18" fillId="0" borderId="0" xfId="15" applyFont="1" applyFill="1" applyAlignment="1">
      <alignment vertical="center"/>
    </xf>
    <xf numFmtId="0" fontId="75" fillId="0" borderId="0" xfId="15" applyFont="1" applyFill="1" applyAlignment="1">
      <alignment vertical="center"/>
    </xf>
    <xf numFmtId="0" fontId="4" fillId="0" borderId="0" xfId="15" applyFont="1" applyAlignment="1">
      <alignment vertical="center"/>
    </xf>
    <xf numFmtId="0" fontId="4" fillId="15" borderId="4" xfId="15" applyFont="1" applyFill="1" applyBorder="1" applyAlignment="1">
      <alignment horizontal="centerContinuous" vertical="top"/>
    </xf>
    <xf numFmtId="0" fontId="4" fillId="15" borderId="5" xfId="15" applyFont="1" applyFill="1" applyBorder="1" applyAlignment="1">
      <alignment horizontal="centerContinuous" vertical="top"/>
    </xf>
    <xf numFmtId="0" fontId="4" fillId="15" borderId="11" xfId="15" applyFont="1" applyFill="1" applyBorder="1" applyAlignment="1">
      <alignment horizontal="centerContinuous" vertical="top"/>
    </xf>
    <xf numFmtId="0" fontId="75" fillId="0" borderId="0" xfId="15" applyFont="1" applyFill="1" applyAlignment="1">
      <alignment vertical="top"/>
    </xf>
    <xf numFmtId="0" fontId="4" fillId="0" borderId="0" xfId="15" applyFont="1" applyAlignment="1">
      <alignment vertical="top"/>
    </xf>
    <xf numFmtId="0" fontId="4" fillId="15" borderId="3" xfId="15" applyFont="1" applyFill="1" applyBorder="1" applyAlignment="1">
      <alignment vertical="top"/>
    </xf>
    <xf numFmtId="43" fontId="4" fillId="15" borderId="3" xfId="16" applyFont="1" applyFill="1" applyBorder="1" applyAlignment="1">
      <alignment horizontal="center" vertical="top"/>
    </xf>
    <xf numFmtId="43" fontId="4" fillId="15" borderId="3" xfId="15" applyNumberFormat="1" applyFont="1" applyFill="1" applyBorder="1" applyAlignment="1">
      <alignment horizontal="center" vertical="top"/>
    </xf>
    <xf numFmtId="0" fontId="76" fillId="15" borderId="3" xfId="15" applyFont="1" applyFill="1" applyBorder="1" applyAlignment="1">
      <alignment horizontal="center" vertical="top" wrapText="1"/>
    </xf>
    <xf numFmtId="0" fontId="4" fillId="15" borderId="3" xfId="15" applyFont="1" applyFill="1" applyBorder="1" applyAlignment="1">
      <alignment horizontal="center" vertical="top" wrapText="1"/>
    </xf>
    <xf numFmtId="2" fontId="4" fillId="15" borderId="3" xfId="15" applyNumberFormat="1" applyFont="1" applyFill="1" applyBorder="1" applyAlignment="1">
      <alignment horizontal="center" vertical="top" wrapText="1"/>
    </xf>
    <xf numFmtId="0" fontId="75" fillId="0" borderId="0" xfId="15" applyFont="1" applyFill="1" applyAlignment="1">
      <alignment horizontal="center" vertical="top"/>
    </xf>
    <xf numFmtId="0" fontId="4" fillId="0" borderId="0" xfId="15" applyFont="1" applyAlignment="1">
      <alignment horizontal="center" vertical="top"/>
    </xf>
    <xf numFmtId="0" fontId="4" fillId="15" borderId="1" xfId="15" applyFont="1" applyFill="1" applyBorder="1" applyAlignment="1">
      <alignment horizontal="center" vertical="center"/>
    </xf>
    <xf numFmtId="43" fontId="4" fillId="15" borderId="1" xfId="16" applyFont="1" applyFill="1" applyBorder="1" applyAlignment="1">
      <alignment horizontal="center" vertical="center"/>
    </xf>
    <xf numFmtId="43" fontId="4" fillId="15" borderId="1" xfId="15" applyNumberFormat="1" applyFont="1" applyFill="1" applyBorder="1" applyAlignment="1">
      <alignment horizontal="center" vertical="center"/>
    </xf>
    <xf numFmtId="0" fontId="76" fillId="15" borderId="1" xfId="15" applyFont="1" applyFill="1" applyBorder="1" applyAlignment="1">
      <alignment horizontal="center" vertical="center"/>
    </xf>
    <xf numFmtId="0" fontId="4" fillId="15" borderId="8" xfId="15" applyFont="1" applyFill="1" applyBorder="1" applyAlignment="1">
      <alignment horizontal="center" vertical="center"/>
    </xf>
    <xf numFmtId="0" fontId="75" fillId="0" borderId="0" xfId="15" applyFont="1" applyFill="1" applyAlignment="1">
      <alignment horizontal="center" vertical="center"/>
    </xf>
    <xf numFmtId="0" fontId="4" fillId="0" borderId="0" xfId="15" applyFont="1" applyAlignment="1">
      <alignment horizontal="center" vertical="center"/>
    </xf>
    <xf numFmtId="207" fontId="77" fillId="16" borderId="8" xfId="15" applyNumberFormat="1" applyFont="1" applyFill="1" applyBorder="1" applyAlignment="1">
      <alignment horizontal="center" vertical="center"/>
    </xf>
    <xf numFmtId="2" fontId="4" fillId="0" borderId="8" xfId="15" applyNumberFormat="1" applyFont="1" applyBorder="1" applyAlignment="1">
      <alignment horizontal="center" vertical="center"/>
    </xf>
    <xf numFmtId="222" fontId="75" fillId="8" borderId="8" xfId="1" applyNumberFormat="1" applyFont="1" applyFill="1" applyBorder="1" applyAlignment="1" applyProtection="1">
      <alignment horizontal="center" vertical="center"/>
      <protection locked="0"/>
    </xf>
    <xf numFmtId="43" fontId="4" fillId="17" borderId="8" xfId="16" applyFont="1" applyFill="1" applyBorder="1" applyAlignment="1">
      <alignment vertical="center"/>
    </xf>
    <xf numFmtId="4" fontId="74" fillId="18" borderId="8" xfId="16" applyNumberFormat="1" applyFont="1" applyFill="1" applyBorder="1" applyAlignment="1">
      <alignment horizontal="center" vertical="center"/>
    </xf>
    <xf numFmtId="4" fontId="4" fillId="0" borderId="8" xfId="15" applyNumberFormat="1" applyFont="1" applyBorder="1" applyAlignment="1">
      <alignment horizontal="center" vertical="center"/>
    </xf>
    <xf numFmtId="4" fontId="4" fillId="0" borderId="8" xfId="15" quotePrefix="1" applyNumberFormat="1" applyFont="1" applyBorder="1" applyAlignment="1">
      <alignment horizontal="center" vertical="center"/>
    </xf>
    <xf numFmtId="43" fontId="4" fillId="6" borderId="8" xfId="16" applyFont="1" applyFill="1" applyBorder="1" applyAlignment="1">
      <alignment horizontal="center" vertical="center"/>
    </xf>
    <xf numFmtId="0" fontId="74" fillId="0" borderId="8" xfId="15" applyFont="1" applyBorder="1" applyAlignment="1">
      <alignment vertical="center"/>
    </xf>
    <xf numFmtId="4" fontId="77" fillId="0" borderId="8" xfId="15" applyNumberFormat="1" applyFont="1" applyBorder="1" applyAlignment="1">
      <alignment horizontal="center" vertical="center"/>
    </xf>
    <xf numFmtId="204" fontId="18" fillId="0" borderId="0" xfId="15" applyNumberFormat="1" applyFont="1" applyFill="1" applyAlignment="1">
      <alignment vertical="center"/>
    </xf>
    <xf numFmtId="207" fontId="77" fillId="0" borderId="1" xfId="15" applyNumberFormat="1" applyFont="1" applyBorder="1" applyAlignment="1">
      <alignment horizontal="center" vertical="center"/>
    </xf>
    <xf numFmtId="2" fontId="4" fillId="0" borderId="1" xfId="15" applyNumberFormat="1" applyFont="1" applyBorder="1" applyAlignment="1">
      <alignment horizontal="center" vertical="center"/>
    </xf>
    <xf numFmtId="4" fontId="4" fillId="0" borderId="1" xfId="16" applyNumberFormat="1" applyFont="1" applyFill="1" applyBorder="1" applyAlignment="1">
      <alignment horizontal="center" vertical="center"/>
    </xf>
    <xf numFmtId="4" fontId="78" fillId="0" borderId="1" xfId="16" applyNumberFormat="1" applyFont="1" applyFill="1" applyBorder="1" applyAlignment="1">
      <alignment horizontal="center" vertical="center"/>
    </xf>
    <xf numFmtId="4" fontId="4" fillId="0" borderId="1" xfId="15" applyNumberFormat="1" applyFont="1" applyBorder="1" applyAlignment="1">
      <alignment horizontal="center" vertical="center"/>
    </xf>
    <xf numFmtId="43" fontId="4" fillId="6" borderId="1" xfId="16" applyFont="1" applyFill="1" applyBorder="1" applyAlignment="1">
      <alignment horizontal="center" vertical="center"/>
    </xf>
    <xf numFmtId="4" fontId="77" fillId="0" borderId="1" xfId="15" applyNumberFormat="1" applyFont="1" applyBorder="1" applyAlignment="1">
      <alignment horizontal="center" vertical="center"/>
    </xf>
    <xf numFmtId="4" fontId="77" fillId="0" borderId="7" xfId="15" applyNumberFormat="1" applyFont="1" applyBorder="1" applyAlignment="1">
      <alignment horizontal="center" vertical="center"/>
    </xf>
    <xf numFmtId="4" fontId="77" fillId="0" borderId="1" xfId="16" applyNumberFormat="1" applyFont="1" applyBorder="1" applyAlignment="1">
      <alignment horizontal="center" vertical="center"/>
    </xf>
    <xf numFmtId="4" fontId="18" fillId="0" borderId="0" xfId="16" applyNumberFormat="1" applyFont="1" applyFill="1" applyAlignment="1">
      <alignment horizontal="center" vertical="center"/>
    </xf>
    <xf numFmtId="3" fontId="4" fillId="19" borderId="1" xfId="15" applyNumberFormat="1" applyFont="1" applyFill="1" applyBorder="1" applyAlignment="1">
      <alignment horizontal="center" vertical="center"/>
    </xf>
    <xf numFmtId="204" fontId="18" fillId="0" borderId="1" xfId="15" applyNumberFormat="1" applyFont="1" applyFill="1" applyBorder="1" applyAlignment="1">
      <alignment vertical="center"/>
    </xf>
    <xf numFmtId="201" fontId="75" fillId="0" borderId="1" xfId="16" applyNumberFormat="1" applyFont="1" applyFill="1" applyBorder="1" applyAlignment="1">
      <alignment vertical="center"/>
    </xf>
    <xf numFmtId="43" fontId="75" fillId="0" borderId="1" xfId="16" applyFont="1" applyFill="1" applyBorder="1" applyAlignment="1">
      <alignment vertical="center"/>
    </xf>
    <xf numFmtId="3" fontId="75" fillId="0" borderId="1" xfId="15" applyNumberFormat="1" applyFont="1" applyFill="1" applyBorder="1" applyAlignment="1">
      <alignment horizontal="center" vertical="center"/>
    </xf>
    <xf numFmtId="4" fontId="74" fillId="0" borderId="0" xfId="15" applyNumberFormat="1" applyFont="1" applyBorder="1" applyAlignment="1">
      <alignment vertical="center"/>
    </xf>
    <xf numFmtId="204" fontId="4" fillId="0" borderId="0" xfId="15" applyNumberFormat="1" applyFont="1" applyAlignment="1">
      <alignment horizontal="center" vertical="center"/>
    </xf>
    <xf numFmtId="2" fontId="4" fillId="0" borderId="0" xfId="15" applyNumberFormat="1" applyFont="1" applyAlignment="1">
      <alignment horizontal="center" vertical="center"/>
    </xf>
    <xf numFmtId="43" fontId="74" fillId="0" borderId="0" xfId="16" applyFont="1" applyFill="1" applyAlignment="1">
      <alignment vertical="center"/>
    </xf>
    <xf numFmtId="43" fontId="74" fillId="0" borderId="0" xfId="15" applyNumberFormat="1" applyFont="1" applyFill="1" applyAlignment="1">
      <alignment vertical="center"/>
    </xf>
    <xf numFmtId="2" fontId="74" fillId="0" borderId="0" xfId="15" applyNumberFormat="1" applyFont="1" applyFill="1" applyAlignment="1">
      <alignment vertical="center"/>
    </xf>
    <xf numFmtId="0" fontId="74" fillId="0" borderId="0" xfId="15" applyFont="1" applyAlignment="1">
      <alignment vertical="center"/>
    </xf>
    <xf numFmtId="0" fontId="76" fillId="0" borderId="0" xfId="15" applyFont="1" applyAlignment="1">
      <alignment vertical="center"/>
    </xf>
    <xf numFmtId="0" fontId="74" fillId="0" borderId="0" xfId="15" applyFont="1" applyBorder="1" applyAlignment="1">
      <alignment vertical="center"/>
    </xf>
    <xf numFmtId="204" fontId="75" fillId="0" borderId="0" xfId="15" applyNumberFormat="1" applyFont="1" applyFill="1" applyAlignment="1">
      <alignment horizontal="center" vertical="center"/>
    </xf>
    <xf numFmtId="2" fontId="75" fillId="0" borderId="0" xfId="15" applyNumberFormat="1" applyFont="1" applyFill="1" applyAlignment="1">
      <alignment horizontal="center" vertical="center"/>
    </xf>
    <xf numFmtId="43" fontId="75" fillId="0" borderId="47" xfId="16" applyFont="1" applyFill="1" applyBorder="1" applyAlignment="1">
      <alignment horizontal="centerContinuous" vertical="center"/>
    </xf>
    <xf numFmtId="43" fontId="75" fillId="0" borderId="47" xfId="15" applyNumberFormat="1" applyFont="1" applyFill="1" applyBorder="1" applyAlignment="1">
      <alignment horizontal="centerContinuous" vertical="center"/>
    </xf>
    <xf numFmtId="2" fontId="75" fillId="0" borderId="48" xfId="15" applyNumberFormat="1" applyFont="1" applyFill="1" applyBorder="1" applyAlignment="1">
      <alignment horizontal="centerContinuous" vertical="center"/>
    </xf>
    <xf numFmtId="0" fontId="75" fillId="0" borderId="48" xfId="15" applyFont="1" applyFill="1" applyBorder="1" applyAlignment="1">
      <alignment horizontal="centerContinuous" vertical="center"/>
    </xf>
    <xf numFmtId="0" fontId="75" fillId="0" borderId="49" xfId="15" applyFont="1" applyFill="1" applyBorder="1" applyAlignment="1">
      <alignment horizontal="centerContinuous" vertical="center"/>
    </xf>
    <xf numFmtId="43" fontId="75" fillId="0" borderId="0" xfId="15" applyNumberFormat="1" applyFont="1" applyFill="1" applyAlignment="1">
      <alignment vertical="center"/>
    </xf>
    <xf numFmtId="4" fontId="75" fillId="0" borderId="0" xfId="15" applyNumberFormat="1" applyFont="1" applyFill="1" applyBorder="1" applyAlignment="1">
      <alignment vertical="center"/>
    </xf>
    <xf numFmtId="188" fontId="75" fillId="0" borderId="0" xfId="15" applyNumberFormat="1" applyFont="1" applyFill="1" applyBorder="1" applyAlignment="1">
      <alignment vertical="center"/>
    </xf>
    <xf numFmtId="204" fontId="75" fillId="0" borderId="0" xfId="15" applyNumberFormat="1" applyFont="1" applyFill="1" applyAlignment="1">
      <alignment vertical="center"/>
    </xf>
    <xf numFmtId="1" fontId="75" fillId="0" borderId="50" xfId="16" applyNumberFormat="1" applyFont="1" applyFill="1" applyBorder="1" applyAlignment="1">
      <alignment horizontal="center" vertical="center"/>
    </xf>
    <xf numFmtId="43" fontId="75" fillId="0" borderId="10" xfId="15" applyNumberFormat="1" applyFont="1" applyFill="1" applyBorder="1" applyAlignment="1">
      <alignment vertical="center"/>
    </xf>
    <xf numFmtId="0" fontId="75" fillId="0" borderId="10" xfId="15" applyFont="1" applyFill="1" applyBorder="1" applyAlignment="1">
      <alignment vertical="center"/>
    </xf>
    <xf numFmtId="4" fontId="75" fillId="0" borderId="51" xfId="16" applyNumberFormat="1" applyFont="1" applyFill="1" applyBorder="1" applyAlignment="1">
      <alignment horizontal="center" vertical="center"/>
    </xf>
    <xf numFmtId="0" fontId="75" fillId="0" borderId="52" xfId="15" applyFont="1" applyFill="1" applyBorder="1" applyAlignment="1">
      <alignment horizontal="center" vertical="center"/>
    </xf>
    <xf numFmtId="0" fontId="75" fillId="0" borderId="52" xfId="15" applyFont="1" applyFill="1" applyBorder="1" applyAlignment="1">
      <alignment vertical="center"/>
    </xf>
    <xf numFmtId="0" fontId="75" fillId="0" borderId="53" xfId="15" applyFont="1" applyFill="1" applyBorder="1" applyAlignment="1">
      <alignment vertical="center"/>
    </xf>
    <xf numFmtId="1" fontId="75" fillId="0" borderId="44" xfId="16" applyNumberFormat="1" applyFont="1" applyFill="1" applyBorder="1" applyAlignment="1">
      <alignment horizontal="center" vertical="center"/>
    </xf>
    <xf numFmtId="43" fontId="75" fillId="0" borderId="16" xfId="15" applyNumberFormat="1" applyFont="1" applyFill="1" applyBorder="1" applyAlignment="1">
      <alignment vertical="center"/>
    </xf>
    <xf numFmtId="0" fontId="75" fillId="0" borderId="16" xfId="15" applyFont="1" applyFill="1" applyBorder="1" applyAlignment="1">
      <alignment vertical="center"/>
    </xf>
    <xf numFmtId="4" fontId="75" fillId="0" borderId="1" xfId="16" applyNumberFormat="1" applyFont="1" applyFill="1" applyBorder="1" applyAlignment="1">
      <alignment horizontal="center" vertical="center"/>
    </xf>
    <xf numFmtId="0" fontId="75" fillId="0" borderId="16" xfId="15" applyFont="1" applyFill="1" applyBorder="1" applyAlignment="1">
      <alignment horizontal="center" vertical="center"/>
    </xf>
    <xf numFmtId="0" fontId="75" fillId="0" borderId="54" xfId="15" applyFont="1" applyFill="1" applyBorder="1" applyAlignment="1">
      <alignment vertical="center"/>
    </xf>
    <xf numFmtId="2" fontId="75" fillId="0" borderId="16" xfId="15" applyNumberFormat="1" applyFont="1" applyFill="1" applyBorder="1" applyAlignment="1">
      <alignment vertical="center"/>
    </xf>
    <xf numFmtId="10" fontId="18" fillId="8" borderId="16" xfId="18" applyNumberFormat="1" applyFont="1" applyFill="1" applyBorder="1" applyAlignment="1">
      <alignment horizontal="center" vertical="center"/>
    </xf>
    <xf numFmtId="0" fontId="75" fillId="0" borderId="55" xfId="15" applyFont="1" applyFill="1" applyBorder="1" applyAlignment="1">
      <alignment horizontal="centerContinuous" vertical="center"/>
    </xf>
    <xf numFmtId="0" fontId="75" fillId="0" borderId="56" xfId="15" applyFont="1" applyFill="1" applyBorder="1" applyAlignment="1">
      <alignment horizontal="centerContinuous" vertical="center"/>
    </xf>
    <xf numFmtId="0" fontId="75" fillId="0" borderId="32" xfId="15" applyFont="1" applyFill="1" applyBorder="1" applyAlignment="1">
      <alignment horizontal="centerContinuous" vertical="center"/>
    </xf>
    <xf numFmtId="0" fontId="75" fillId="0" borderId="35" xfId="15" applyFont="1" applyFill="1" applyBorder="1" applyAlignment="1">
      <alignment horizontal="centerContinuous" vertical="center"/>
    </xf>
    <xf numFmtId="0" fontId="75" fillId="0" borderId="25" xfId="15" applyFont="1" applyFill="1" applyBorder="1" applyAlignment="1">
      <alignment horizontal="centerContinuous" vertical="center"/>
    </xf>
    <xf numFmtId="43" fontId="75" fillId="0" borderId="0" xfId="16" applyFont="1" applyFill="1" applyAlignment="1">
      <alignment vertical="center"/>
    </xf>
    <xf numFmtId="2" fontId="75" fillId="0" borderId="0" xfId="15" applyNumberFormat="1" applyFont="1" applyFill="1" applyAlignment="1">
      <alignment vertical="center"/>
    </xf>
    <xf numFmtId="208" fontId="75" fillId="0" borderId="1" xfId="16" applyNumberFormat="1" applyFont="1" applyFill="1" applyBorder="1" applyAlignment="1">
      <alignment vertical="center"/>
    </xf>
    <xf numFmtId="0" fontId="75" fillId="0" borderId="1" xfId="15" applyFont="1" applyFill="1" applyBorder="1" applyAlignment="1">
      <alignment horizontal="center" vertical="center"/>
    </xf>
    <xf numFmtId="43" fontId="75" fillId="0" borderId="1" xfId="15" applyNumberFormat="1" applyFont="1" applyFill="1" applyBorder="1" applyAlignment="1">
      <alignment vertical="center"/>
    </xf>
    <xf numFmtId="208" fontId="75" fillId="0" borderId="3" xfId="16" applyNumberFormat="1" applyFont="1" applyFill="1" applyBorder="1" applyAlignment="1">
      <alignment vertical="center"/>
    </xf>
    <xf numFmtId="204" fontId="4" fillId="0" borderId="0" xfId="15" applyNumberFormat="1" applyFont="1" applyFill="1" applyAlignment="1">
      <alignment horizontal="center" vertical="center"/>
    </xf>
    <xf numFmtId="2" fontId="4" fillId="0" borderId="0" xfId="15" applyNumberFormat="1" applyFont="1" applyFill="1" applyAlignment="1">
      <alignment horizontal="center" vertical="center"/>
    </xf>
    <xf numFmtId="0" fontId="74" fillId="0" borderId="0" xfId="15" applyFont="1" applyFill="1" applyAlignment="1">
      <alignment vertical="center"/>
    </xf>
    <xf numFmtId="0" fontId="76" fillId="0" borderId="0" xfId="15" applyFont="1" applyFill="1" applyAlignment="1">
      <alignment vertical="center"/>
    </xf>
    <xf numFmtId="0" fontId="4" fillId="0" borderId="0" xfId="15" applyFont="1" applyFill="1" applyAlignment="1">
      <alignment vertical="center"/>
    </xf>
    <xf numFmtId="2" fontId="74" fillId="0" borderId="0" xfId="15" applyNumberFormat="1" applyFont="1" applyAlignment="1">
      <alignment vertical="center"/>
    </xf>
    <xf numFmtId="43" fontId="74" fillId="20" borderId="0" xfId="16" applyFont="1" applyFill="1" applyAlignment="1">
      <alignment vertical="center"/>
    </xf>
    <xf numFmtId="43" fontId="74" fillId="20" borderId="0" xfId="15" applyNumberFormat="1" applyFont="1" applyFill="1" applyAlignment="1">
      <alignment vertical="center"/>
    </xf>
    <xf numFmtId="0" fontId="23" fillId="0" borderId="0" xfId="15" applyFont="1" applyFill="1" applyBorder="1" applyAlignment="1">
      <alignment vertical="center"/>
    </xf>
    <xf numFmtId="0" fontId="23" fillId="0" borderId="0" xfId="15" applyFont="1" applyFill="1" applyBorder="1" applyAlignment="1">
      <alignment horizontal="center" vertical="center"/>
    </xf>
    <xf numFmtId="0" fontId="80" fillId="8" borderId="0" xfId="15" applyFont="1" applyFill="1" applyBorder="1" applyAlignment="1">
      <alignment horizontal="center" vertical="center"/>
    </xf>
    <xf numFmtId="4" fontId="80" fillId="0" borderId="0" xfId="15" applyNumberFormat="1" applyFont="1" applyFill="1" applyBorder="1" applyAlignment="1">
      <alignment horizontal="center" vertical="center"/>
    </xf>
    <xf numFmtId="0" fontId="23" fillId="0" borderId="0" xfId="17" applyFont="1" applyAlignment="1">
      <alignment vertical="center"/>
    </xf>
    <xf numFmtId="0" fontId="23" fillId="0" borderId="0" xfId="15" applyFont="1" applyAlignment="1">
      <alignment vertical="center"/>
    </xf>
    <xf numFmtId="0" fontId="23" fillId="15" borderId="72" xfId="15" applyFont="1" applyFill="1" applyBorder="1" applyAlignment="1">
      <alignment horizontal="centerContinuous" vertical="center"/>
    </xf>
    <xf numFmtId="0" fontId="23" fillId="15" borderId="52" xfId="15" applyFont="1" applyFill="1" applyBorder="1" applyAlignment="1">
      <alignment horizontal="centerContinuous" vertical="center"/>
    </xf>
    <xf numFmtId="0" fontId="23" fillId="15" borderId="53" xfId="15" applyFont="1" applyFill="1" applyBorder="1" applyAlignment="1">
      <alignment horizontal="centerContinuous" vertical="center"/>
    </xf>
    <xf numFmtId="0" fontId="23" fillId="0" borderId="0" xfId="15" applyFont="1" applyFill="1" applyAlignment="1">
      <alignment vertical="center"/>
    </xf>
    <xf numFmtId="0" fontId="23" fillId="15" borderId="12" xfId="15" applyFont="1" applyFill="1" applyBorder="1" applyAlignment="1">
      <alignment horizontal="center" vertical="center"/>
    </xf>
    <xf numFmtId="0" fontId="23" fillId="15" borderId="66" xfId="15" applyFont="1" applyFill="1" applyBorder="1" applyAlignment="1">
      <alignment horizontal="center" vertical="center" wrapText="1"/>
    </xf>
    <xf numFmtId="0" fontId="23" fillId="0" borderId="0" xfId="15" applyFont="1" applyFill="1" applyAlignment="1">
      <alignment horizontal="center" vertical="center"/>
    </xf>
    <xf numFmtId="2" fontId="23" fillId="15" borderId="33" xfId="15" applyNumberFormat="1" applyFont="1" applyFill="1" applyBorder="1" applyAlignment="1">
      <alignment horizontal="center" vertical="center"/>
    </xf>
    <xf numFmtId="2" fontId="23" fillId="15" borderId="33" xfId="15" quotePrefix="1" applyNumberFormat="1" applyFont="1" applyFill="1" applyBorder="1" applyAlignment="1">
      <alignment horizontal="center" vertical="center"/>
    </xf>
    <xf numFmtId="0" fontId="23" fillId="15" borderId="33" xfId="15" applyFont="1" applyFill="1" applyBorder="1" applyAlignment="1">
      <alignment horizontal="center" vertical="center"/>
    </xf>
    <xf numFmtId="0" fontId="23" fillId="15" borderId="36" xfId="15" applyFont="1" applyFill="1" applyBorder="1" applyAlignment="1">
      <alignment horizontal="center" vertical="center"/>
    </xf>
    <xf numFmtId="0" fontId="23" fillId="0" borderId="1" xfId="15" applyFont="1" applyFill="1" applyBorder="1" applyAlignment="1">
      <alignment horizontal="center" vertical="center"/>
    </xf>
    <xf numFmtId="225" fontId="23" fillId="0" borderId="1" xfId="17" applyNumberFormat="1" applyFont="1" applyFill="1" applyBorder="1" applyAlignment="1">
      <alignment horizontal="center" vertical="center"/>
    </xf>
    <xf numFmtId="223" fontId="81" fillId="8" borderId="1" xfId="17" applyNumberFormat="1" applyFont="1" applyFill="1" applyBorder="1" applyAlignment="1">
      <alignment horizontal="center" vertical="center"/>
    </xf>
    <xf numFmtId="0" fontId="81" fillId="8" borderId="8" xfId="17" applyNumberFormat="1" applyFont="1" applyFill="1" applyBorder="1" applyAlignment="1">
      <alignment horizontal="center" vertical="center"/>
    </xf>
    <xf numFmtId="226" fontId="81" fillId="8" borderId="8" xfId="17" applyNumberFormat="1" applyFont="1" applyFill="1" applyBorder="1" applyAlignment="1">
      <alignment horizontal="center" vertical="center"/>
    </xf>
    <xf numFmtId="2" fontId="23" fillId="0" borderId="8" xfId="15" applyNumberFormat="1" applyFont="1" applyFill="1" applyBorder="1" applyAlignment="1">
      <alignment horizontal="center" vertical="center"/>
    </xf>
    <xf numFmtId="4" fontId="23" fillId="0" borderId="8" xfId="184" applyNumberFormat="1" applyFont="1" applyFill="1" applyBorder="1" applyAlignment="1" applyProtection="1">
      <alignment horizontal="center" vertical="center"/>
      <protection locked="0"/>
    </xf>
    <xf numFmtId="2" fontId="23" fillId="0" borderId="65" xfId="15" applyNumberFormat="1" applyFont="1" applyFill="1" applyBorder="1" applyAlignment="1">
      <alignment horizontal="center" vertical="center"/>
    </xf>
    <xf numFmtId="225" fontId="23" fillId="0" borderId="79" xfId="15" applyNumberFormat="1" applyFont="1" applyFill="1" applyBorder="1" applyAlignment="1">
      <alignment horizontal="center" vertical="center"/>
    </xf>
    <xf numFmtId="226" fontId="23" fillId="0" borderId="17" xfId="17" applyNumberFormat="1" applyFont="1" applyFill="1" applyBorder="1" applyAlignment="1">
      <alignment horizontal="center" vertical="center"/>
    </xf>
    <xf numFmtId="43" fontId="23" fillId="0" borderId="0" xfId="15" applyNumberFormat="1" applyFont="1" applyFill="1" applyAlignment="1">
      <alignment horizontal="center" vertical="center"/>
    </xf>
    <xf numFmtId="43" fontId="23" fillId="0" borderId="1" xfId="133" applyFont="1" applyFill="1" applyBorder="1" applyAlignment="1">
      <alignment horizontal="center" vertical="center"/>
    </xf>
    <xf numFmtId="2" fontId="23" fillId="0" borderId="1" xfId="15" applyNumberFormat="1" applyFont="1" applyFill="1" applyBorder="1" applyAlignment="1">
      <alignment horizontal="center" vertical="center"/>
    </xf>
    <xf numFmtId="225" fontId="23" fillId="0" borderId="80" xfId="15" applyNumberFormat="1" applyFont="1" applyFill="1" applyBorder="1" applyAlignment="1">
      <alignment horizontal="center" vertical="center"/>
    </xf>
    <xf numFmtId="226" fontId="23" fillId="0" borderId="2" xfId="17" applyNumberFormat="1" applyFont="1" applyFill="1" applyBorder="1" applyAlignment="1">
      <alignment horizontal="center" vertical="center"/>
    </xf>
    <xf numFmtId="225" fontId="23" fillId="0" borderId="44" xfId="15" applyNumberFormat="1" applyFont="1" applyFill="1" applyBorder="1" applyAlignment="1">
      <alignment horizontal="center" vertical="center"/>
    </xf>
    <xf numFmtId="207" fontId="23" fillId="0" borderId="44" xfId="15" applyNumberFormat="1" applyFont="1" applyFill="1" applyBorder="1" applyAlignment="1">
      <alignment horizontal="center" vertical="center"/>
    </xf>
    <xf numFmtId="2" fontId="23" fillId="8" borderId="1" xfId="15" applyNumberFormat="1" applyFont="1" applyFill="1" applyBorder="1" applyAlignment="1">
      <alignment horizontal="center" vertical="center"/>
    </xf>
    <xf numFmtId="2" fontId="23" fillId="8" borderId="8" xfId="15" applyNumberFormat="1" applyFont="1" applyFill="1" applyBorder="1" applyAlignment="1">
      <alignment horizontal="center" vertical="center"/>
    </xf>
    <xf numFmtId="2" fontId="23" fillId="0" borderId="45" xfId="15" applyNumberFormat="1" applyFont="1" applyFill="1" applyBorder="1" applyAlignment="1">
      <alignment horizontal="center" vertical="center"/>
    </xf>
    <xf numFmtId="207" fontId="23" fillId="0" borderId="73" xfId="15" applyNumberFormat="1" applyFont="1" applyFill="1" applyBorder="1" applyAlignment="1">
      <alignment horizontal="center" vertical="center"/>
    </xf>
    <xf numFmtId="2" fontId="23" fillId="8" borderId="66" xfId="15" applyNumberFormat="1" applyFont="1" applyFill="1" applyBorder="1" applyAlignment="1">
      <alignment horizontal="center" vertical="center"/>
    </xf>
    <xf numFmtId="2" fontId="23" fillId="8" borderId="12" xfId="15" applyNumberFormat="1" applyFont="1" applyFill="1" applyBorder="1" applyAlignment="1">
      <alignment horizontal="center" vertical="center"/>
    </xf>
    <xf numFmtId="2" fontId="23" fillId="0" borderId="12" xfId="15" applyNumberFormat="1" applyFont="1" applyFill="1" applyBorder="1" applyAlignment="1">
      <alignment horizontal="center" vertical="center"/>
    </xf>
    <xf numFmtId="0" fontId="23" fillId="0" borderId="12" xfId="15" applyFont="1" applyFill="1" applyBorder="1" applyAlignment="1">
      <alignment horizontal="center" vertical="center"/>
    </xf>
    <xf numFmtId="0" fontId="23" fillId="0" borderId="46" xfId="15" applyFont="1" applyFill="1" applyBorder="1" applyAlignment="1">
      <alignment horizontal="center" vertical="center"/>
    </xf>
    <xf numFmtId="225" fontId="23" fillId="0" borderId="81" xfId="15" applyNumberFormat="1" applyFont="1" applyFill="1" applyBorder="1" applyAlignment="1">
      <alignment horizontal="center" vertical="center"/>
    </xf>
    <xf numFmtId="226" fontId="23" fillId="0" borderId="19" xfId="17" applyNumberFormat="1" applyFont="1" applyFill="1" applyBorder="1" applyAlignment="1">
      <alignment horizontal="center" vertical="center"/>
    </xf>
    <xf numFmtId="4" fontId="23" fillId="41" borderId="77" xfId="15" applyNumberFormat="1" applyFont="1" applyFill="1" applyBorder="1" applyAlignment="1">
      <alignment vertical="center"/>
    </xf>
    <xf numFmtId="3" fontId="23" fillId="41" borderId="77" xfId="15" applyNumberFormat="1" applyFont="1" applyFill="1" applyBorder="1" applyAlignment="1">
      <alignment horizontal="center" vertical="center"/>
    </xf>
    <xf numFmtId="3" fontId="23" fillId="41" borderId="78" xfId="15" applyNumberFormat="1" applyFont="1" applyFill="1" applyBorder="1" applyAlignment="1">
      <alignment horizontal="center" vertical="center"/>
    </xf>
    <xf numFmtId="4" fontId="23" fillId="0" borderId="44" xfId="15" applyNumberFormat="1" applyFont="1" applyFill="1" applyBorder="1" applyAlignment="1">
      <alignment horizontal="center" vertical="center"/>
    </xf>
    <xf numFmtId="4" fontId="23" fillId="0" borderId="1" xfId="15" applyNumberFormat="1" applyFont="1" applyFill="1" applyBorder="1" applyAlignment="1">
      <alignment horizontal="center" vertical="center"/>
    </xf>
    <xf numFmtId="4" fontId="23" fillId="0" borderId="0" xfId="15" applyNumberFormat="1" applyFont="1" applyFill="1" applyBorder="1" applyAlignment="1">
      <alignment vertical="center"/>
    </xf>
    <xf numFmtId="204" fontId="23" fillId="0" borderId="0" xfId="15" applyNumberFormat="1" applyFont="1" applyFill="1" applyAlignment="1">
      <alignment vertical="center"/>
    </xf>
    <xf numFmtId="2" fontId="23" fillId="0" borderId="0" xfId="15" applyNumberFormat="1" applyFont="1" applyFill="1" applyAlignment="1">
      <alignment vertical="center"/>
    </xf>
    <xf numFmtId="2" fontId="5" fillId="0" borderId="0" xfId="15" applyNumberFormat="1" applyFont="1" applyFill="1" applyAlignment="1">
      <alignment vertical="center"/>
    </xf>
    <xf numFmtId="2" fontId="5" fillId="0" borderId="66" xfId="15" applyNumberFormat="1" applyFont="1" applyFill="1" applyBorder="1" applyAlignment="1">
      <alignment horizontal="center" vertical="center"/>
    </xf>
    <xf numFmtId="2" fontId="5" fillId="0" borderId="8" xfId="15" applyNumberFormat="1" applyFont="1" applyFill="1" applyBorder="1" applyAlignment="1">
      <alignment horizontal="center" vertical="center"/>
    </xf>
    <xf numFmtId="2" fontId="23" fillId="0" borderId="0" xfId="15" applyNumberFormat="1" applyFont="1" applyFill="1" applyBorder="1" applyAlignment="1">
      <alignment horizontal="center" vertical="center"/>
    </xf>
    <xf numFmtId="4" fontId="23" fillId="0" borderId="0" xfId="15" applyNumberFormat="1" applyFont="1" applyFill="1" applyBorder="1" applyAlignment="1">
      <alignment horizontal="center" vertical="center"/>
    </xf>
    <xf numFmtId="204" fontId="23" fillId="0" borderId="0" xfId="15" applyNumberFormat="1" applyFont="1" applyAlignment="1">
      <alignment vertical="center"/>
    </xf>
    <xf numFmtId="2" fontId="23" fillId="0" borderId="0" xfId="15" applyNumberFormat="1" applyFont="1" applyAlignment="1">
      <alignment vertical="center"/>
    </xf>
    <xf numFmtId="0" fontId="5" fillId="0" borderId="0" xfId="7" applyFont="1" applyFill="1" applyAlignment="1"/>
    <xf numFmtId="0" fontId="79" fillId="0" borderId="0" xfId="0" applyFont="1"/>
    <xf numFmtId="0" fontId="4" fillId="0" borderId="0" xfId="7" applyFont="1"/>
    <xf numFmtId="0" fontId="5" fillId="0" borderId="0" xfId="7" applyFont="1" applyFill="1" applyAlignment="1">
      <alignment horizontal="center"/>
    </xf>
    <xf numFmtId="2" fontId="5" fillId="0" borderId="1" xfId="7" applyNumberFormat="1" applyFont="1" applyFill="1" applyBorder="1" applyAlignment="1">
      <alignment horizontal="center"/>
    </xf>
    <xf numFmtId="0" fontId="82" fillId="0" borderId="3" xfId="7" applyFont="1" applyFill="1" applyBorder="1" applyAlignment="1">
      <alignment horizontal="center"/>
    </xf>
    <xf numFmtId="0" fontId="82" fillId="0" borderId="0" xfId="7" applyFont="1" applyFill="1"/>
    <xf numFmtId="0" fontId="82" fillId="0" borderId="12" xfId="7" applyFont="1" applyFill="1" applyBorder="1" applyAlignment="1">
      <alignment horizontal="center"/>
    </xf>
    <xf numFmtId="0" fontId="82" fillId="0" borderId="12" xfId="7" applyFont="1" applyFill="1" applyBorder="1"/>
    <xf numFmtId="0" fontId="82" fillId="0" borderId="8" xfId="7" applyFont="1" applyFill="1" applyBorder="1" applyAlignment="1">
      <alignment horizontal="center"/>
    </xf>
    <xf numFmtId="0" fontId="83" fillId="0" borderId="66" xfId="7" applyFont="1" applyFill="1" applyBorder="1"/>
    <xf numFmtId="0" fontId="83" fillId="0" borderId="0" xfId="7" applyFont="1" applyFill="1"/>
    <xf numFmtId="0" fontId="83" fillId="0" borderId="12" xfId="7" applyFont="1" applyFill="1" applyBorder="1"/>
    <xf numFmtId="0" fontId="83" fillId="0" borderId="8" xfId="7" applyFont="1" applyFill="1" applyBorder="1"/>
    <xf numFmtId="0" fontId="83" fillId="0" borderId="0" xfId="7" applyFont="1" applyFill="1" applyBorder="1"/>
    <xf numFmtId="0" fontId="4" fillId="0" borderId="0" xfId="7" applyFont="1" applyFill="1" applyBorder="1"/>
    <xf numFmtId="0" fontId="83" fillId="0" borderId="67" xfId="7" applyFont="1" applyFill="1" applyBorder="1"/>
    <xf numFmtId="0" fontId="4" fillId="0" borderId="0" xfId="7" applyFont="1" applyFill="1"/>
    <xf numFmtId="0" fontId="83" fillId="0" borderId="14" xfId="7" applyFont="1" applyFill="1" applyBorder="1"/>
    <xf numFmtId="0" fontId="83" fillId="0" borderId="9" xfId="7" applyFont="1" applyFill="1" applyBorder="1"/>
    <xf numFmtId="2" fontId="83" fillId="0" borderId="10" xfId="7" applyNumberFormat="1" applyFont="1" applyFill="1" applyBorder="1"/>
    <xf numFmtId="0" fontId="83" fillId="0" borderId="67" xfId="7" applyFont="1" applyFill="1" applyBorder="1" applyAlignment="1">
      <alignment horizontal="center"/>
    </xf>
    <xf numFmtId="0" fontId="83" fillId="0" borderId="14" xfId="7" applyFont="1" applyFill="1" applyBorder="1" applyAlignment="1">
      <alignment horizontal="center"/>
    </xf>
    <xf numFmtId="2" fontId="83" fillId="0" borderId="0" xfId="7" applyNumberFormat="1" applyFont="1" applyFill="1" applyBorder="1" applyAlignment="1">
      <alignment horizontal="center"/>
    </xf>
    <xf numFmtId="2" fontId="83" fillId="0" borderId="13" xfId="7" applyNumberFormat="1" applyFont="1" applyFill="1" applyBorder="1" applyAlignment="1">
      <alignment horizontal="center"/>
    </xf>
    <xf numFmtId="0" fontId="83" fillId="0" borderId="9" xfId="7" applyFont="1" applyFill="1" applyBorder="1" applyAlignment="1">
      <alignment horizontal="center"/>
    </xf>
    <xf numFmtId="2" fontId="83" fillId="0" borderId="10" xfId="7" applyNumberFormat="1" applyFont="1" applyFill="1" applyBorder="1" applyAlignment="1">
      <alignment horizontal="center"/>
    </xf>
    <xf numFmtId="2" fontId="83" fillId="0" borderId="15" xfId="7" applyNumberFormat="1" applyFont="1" applyFill="1" applyBorder="1" applyAlignment="1">
      <alignment horizontal="center"/>
    </xf>
    <xf numFmtId="0" fontId="19" fillId="0" borderId="0" xfId="7" applyFont="1"/>
    <xf numFmtId="0" fontId="82" fillId="0" borderId="0" xfId="7" applyFont="1"/>
    <xf numFmtId="0" fontId="19" fillId="0" borderId="0" xfId="7" applyFont="1" applyFill="1"/>
    <xf numFmtId="0" fontId="83" fillId="0" borderId="67" xfId="7" applyFont="1" applyFill="1" applyBorder="1" applyAlignment="1">
      <alignment horizontal="right"/>
    </xf>
    <xf numFmtId="2" fontId="83" fillId="0" borderId="15" xfId="7" applyNumberFormat="1" applyFont="1" applyFill="1" applyBorder="1"/>
    <xf numFmtId="0" fontId="4" fillId="0" borderId="0" xfId="9" applyFont="1"/>
    <xf numFmtId="0" fontId="84" fillId="0" borderId="0" xfId="9" applyFont="1" applyBorder="1" applyAlignment="1">
      <alignment horizontal="center" vertical="top"/>
    </xf>
    <xf numFmtId="194" fontId="79" fillId="0" borderId="0" xfId="10" applyNumberFormat="1" applyFont="1"/>
    <xf numFmtId="0" fontId="2" fillId="0" borderId="0" xfId="9" applyFont="1" applyAlignment="1">
      <alignment vertical="top"/>
    </xf>
    <xf numFmtId="0" fontId="85" fillId="0" borderId="0" xfId="9" applyFont="1" applyAlignment="1">
      <alignment vertical="top"/>
    </xf>
    <xf numFmtId="0" fontId="86" fillId="0" borderId="0" xfId="9" applyFont="1" applyAlignment="1">
      <alignment vertical="top"/>
    </xf>
    <xf numFmtId="0" fontId="87" fillId="0" borderId="0" xfId="9" applyFont="1" applyAlignment="1">
      <alignment vertical="top"/>
    </xf>
    <xf numFmtId="9" fontId="85" fillId="0" borderId="0" xfId="9" applyNumberFormat="1" applyFont="1" applyAlignment="1">
      <alignment horizontal="left" vertical="top"/>
    </xf>
    <xf numFmtId="0" fontId="77" fillId="0" borderId="0" xfId="9" applyFont="1"/>
    <xf numFmtId="0" fontId="88" fillId="0" borderId="0" xfId="9" applyFont="1" applyAlignment="1">
      <alignment vertical="top"/>
    </xf>
    <xf numFmtId="9" fontId="2" fillId="0" borderId="0" xfId="9" applyNumberFormat="1" applyFont="1" applyAlignment="1">
      <alignment horizontal="left" vertical="top"/>
    </xf>
    <xf numFmtId="194" fontId="4" fillId="0" borderId="0" xfId="10" applyNumberFormat="1" applyFont="1"/>
    <xf numFmtId="0" fontId="83" fillId="0" borderId="0" xfId="9" applyFont="1"/>
    <xf numFmtId="0" fontId="4" fillId="0" borderId="0" xfId="9" applyFont="1" applyAlignment="1">
      <alignment vertical="top"/>
    </xf>
    <xf numFmtId="9" fontId="85" fillId="0" borderId="0" xfId="9" applyNumberFormat="1" applyFont="1" applyAlignment="1">
      <alignment vertical="top"/>
    </xf>
    <xf numFmtId="0" fontId="89" fillId="0" borderId="0" xfId="9" applyFont="1" applyAlignment="1">
      <alignment vertical="top"/>
    </xf>
    <xf numFmtId="0" fontId="85" fillId="0" borderId="0" xfId="9" applyFont="1" applyAlignment="1">
      <alignment horizontal="left" vertical="top"/>
    </xf>
    <xf numFmtId="0" fontId="2" fillId="0" borderId="0" xfId="9" applyFont="1" applyAlignment="1">
      <alignment horizontal="left" vertical="top"/>
    </xf>
    <xf numFmtId="0" fontId="19" fillId="0" borderId="0" xfId="9" applyFont="1" applyAlignment="1">
      <alignment vertical="top"/>
    </xf>
    <xf numFmtId="0" fontId="90" fillId="0" borderId="0" xfId="9" applyFont="1" applyAlignment="1">
      <alignment vertical="top"/>
    </xf>
    <xf numFmtId="9" fontId="90" fillId="0" borderId="0" xfId="9" applyNumberFormat="1" applyFont="1" applyAlignment="1">
      <alignment horizontal="left" vertical="top"/>
    </xf>
    <xf numFmtId="9" fontId="90" fillId="0" borderId="0" xfId="9" applyNumberFormat="1" applyFont="1" applyAlignment="1">
      <alignment vertical="top"/>
    </xf>
    <xf numFmtId="0" fontId="90" fillId="0" borderId="0" xfId="9" applyFont="1" applyAlignment="1">
      <alignment horizontal="left" vertical="top"/>
    </xf>
    <xf numFmtId="0" fontId="4" fillId="0" borderId="0" xfId="9" applyFont="1" applyFill="1"/>
    <xf numFmtId="0" fontId="91" fillId="4" borderId="29" xfId="9" applyFont="1" applyFill="1" applyBorder="1" applyAlignment="1">
      <alignment horizontal="center" vertical="top"/>
    </xf>
    <xf numFmtId="0" fontId="91" fillId="4" borderId="27" xfId="9" applyFont="1" applyFill="1" applyBorder="1" applyAlignment="1">
      <alignment horizontal="center" vertical="top"/>
    </xf>
    <xf numFmtId="0" fontId="91" fillId="4" borderId="26" xfId="9" applyFont="1" applyFill="1" applyBorder="1" applyAlignment="1">
      <alignment horizontal="center" vertical="top"/>
    </xf>
    <xf numFmtId="0" fontId="91" fillId="4" borderId="28" xfId="9" applyFont="1" applyFill="1" applyBorder="1" applyAlignment="1">
      <alignment horizontal="center" vertical="top"/>
    </xf>
    <xf numFmtId="0" fontId="91" fillId="4" borderId="28" xfId="9" applyFont="1" applyFill="1" applyBorder="1"/>
    <xf numFmtId="0" fontId="91" fillId="4" borderId="12" xfId="9" applyFont="1" applyFill="1" applyBorder="1" applyAlignment="1">
      <alignment horizontal="center" vertical="top"/>
    </xf>
    <xf numFmtId="0" fontId="91" fillId="4" borderId="0" xfId="9" applyFont="1" applyFill="1" applyBorder="1" applyAlignment="1">
      <alignment vertical="top"/>
    </xf>
    <xf numFmtId="0" fontId="91" fillId="4" borderId="14" xfId="9" applyFont="1" applyFill="1" applyBorder="1" applyAlignment="1">
      <alignment horizontal="center" vertical="center"/>
    </xf>
    <xf numFmtId="0" fontId="91" fillId="4" borderId="13" xfId="9" applyFont="1" applyFill="1" applyBorder="1" applyAlignment="1">
      <alignment horizontal="center" vertical="center"/>
    </xf>
    <xf numFmtId="0" fontId="91" fillId="4" borderId="12" xfId="9" applyFont="1" applyFill="1" applyBorder="1" applyAlignment="1">
      <alignment horizontal="center" vertical="center"/>
    </xf>
    <xf numFmtId="0" fontId="91" fillId="4" borderId="0" xfId="9" applyFont="1" applyFill="1" applyBorder="1" applyAlignment="1">
      <alignment horizontal="center" vertical="center"/>
    </xf>
    <xf numFmtId="0" fontId="91" fillId="4" borderId="0" xfId="9" applyFont="1" applyFill="1" applyBorder="1"/>
    <xf numFmtId="0" fontId="91" fillId="4" borderId="31" xfId="9" applyFont="1" applyFill="1" applyBorder="1" applyAlignment="1">
      <alignment horizontal="center" vertical="center"/>
    </xf>
    <xf numFmtId="0" fontId="91" fillId="4" borderId="22" xfId="9" applyFont="1" applyFill="1" applyBorder="1"/>
    <xf numFmtId="0" fontId="91" fillId="4" borderId="13" xfId="9" applyFont="1" applyFill="1" applyBorder="1"/>
    <xf numFmtId="0" fontId="91" fillId="4" borderId="3" xfId="9" applyFont="1" applyFill="1" applyBorder="1" applyAlignment="1">
      <alignment horizontal="center" vertical="top"/>
    </xf>
    <xf numFmtId="0" fontId="4" fillId="11" borderId="3" xfId="9" applyFont="1" applyFill="1" applyBorder="1"/>
    <xf numFmtId="0" fontId="91" fillId="4" borderId="33" xfId="9" applyFont="1" applyFill="1" applyBorder="1" applyAlignment="1">
      <alignment horizontal="center" vertical="top"/>
    </xf>
    <xf numFmtId="0" fontId="91" fillId="4" borderId="33" xfId="9" applyFont="1" applyFill="1" applyBorder="1" applyAlignment="1">
      <alignment vertical="top"/>
    </xf>
    <xf numFmtId="0" fontId="91" fillId="4" borderId="34" xfId="9" applyFont="1" applyFill="1" applyBorder="1" applyAlignment="1">
      <alignment horizontal="center" vertical="top"/>
    </xf>
    <xf numFmtId="0" fontId="91" fillId="4" borderId="32" xfId="9" applyFont="1" applyFill="1" applyBorder="1" applyAlignment="1">
      <alignment horizontal="center" vertical="top"/>
    </xf>
    <xf numFmtId="0" fontId="91" fillId="4" borderId="35" xfId="9" applyFont="1" applyFill="1" applyBorder="1" applyAlignment="1">
      <alignment horizontal="center" vertical="top"/>
    </xf>
    <xf numFmtId="0" fontId="91" fillId="4" borderId="33" xfId="9" applyFont="1" applyFill="1" applyBorder="1" applyAlignment="1">
      <alignment horizontal="center" vertical="center"/>
    </xf>
    <xf numFmtId="0" fontId="91" fillId="4" borderId="35" xfId="9" applyFont="1" applyFill="1" applyBorder="1"/>
    <xf numFmtId="0" fontId="91" fillId="4" borderId="36" xfId="9" applyFont="1" applyFill="1" applyBorder="1" applyAlignment="1">
      <alignment horizontal="center" vertical="center"/>
    </xf>
    <xf numFmtId="200" fontId="4" fillId="11" borderId="8" xfId="9" applyNumberFormat="1" applyFont="1" applyFill="1" applyBorder="1" applyAlignment="1">
      <alignment horizontal="center" vertical="center"/>
    </xf>
    <xf numFmtId="4" fontId="4" fillId="10" borderId="0" xfId="9" applyNumberFormat="1" applyFont="1" applyFill="1"/>
    <xf numFmtId="0" fontId="21" fillId="0" borderId="22" xfId="9" applyFont="1" applyFill="1" applyBorder="1" applyAlignment="1">
      <alignment horizontal="center" vertical="top"/>
    </xf>
    <xf numFmtId="0" fontId="90" fillId="0" borderId="13" xfId="9" applyFont="1" applyFill="1" applyBorder="1" applyAlignment="1">
      <alignment horizontal="center" vertical="top"/>
    </xf>
    <xf numFmtId="191" fontId="90" fillId="0" borderId="14" xfId="9" applyNumberFormat="1" applyFont="1" applyFill="1" applyBorder="1" applyAlignment="1">
      <alignment horizontal="center" vertical="top"/>
    </xf>
    <xf numFmtId="191" fontId="90" fillId="0" borderId="12" xfId="9" applyNumberFormat="1" applyFont="1" applyFill="1" applyBorder="1" applyAlignment="1">
      <alignment horizontal="center" vertical="top"/>
    </xf>
    <xf numFmtId="191" fontId="92" fillId="0" borderId="14" xfId="9" applyNumberFormat="1" applyFont="1" applyFill="1" applyBorder="1" applyAlignment="1">
      <alignment horizontal="center" vertical="top"/>
    </xf>
    <xf numFmtId="191" fontId="90" fillId="0" borderId="13" xfId="9" applyNumberFormat="1" applyFont="1" applyFill="1" applyBorder="1" applyAlignment="1">
      <alignment horizontal="center" vertical="top"/>
    </xf>
    <xf numFmtId="191" fontId="90" fillId="0" borderId="0" xfId="9" applyNumberFormat="1" applyFont="1" applyFill="1" applyBorder="1" applyAlignment="1">
      <alignment horizontal="center" vertical="top"/>
    </xf>
    <xf numFmtId="191" fontId="93" fillId="0" borderId="12" xfId="9" applyNumberFormat="1" applyFont="1" applyFill="1" applyBorder="1" applyAlignment="1">
      <alignment horizontal="center" vertical="top"/>
    </xf>
    <xf numFmtId="194" fontId="90" fillId="0" borderId="14" xfId="10" applyNumberFormat="1" applyFont="1" applyFill="1" applyBorder="1" applyAlignment="1">
      <alignment horizontal="center"/>
    </xf>
    <xf numFmtId="0" fontId="90" fillId="0" borderId="13" xfId="9" applyFont="1" applyFill="1" applyBorder="1" applyAlignment="1">
      <alignment horizontal="center"/>
    </xf>
    <xf numFmtId="2" fontId="90" fillId="0" borderId="12" xfId="9" applyNumberFormat="1" applyFont="1" applyFill="1" applyBorder="1" applyAlignment="1">
      <alignment horizontal="center" vertical="top"/>
    </xf>
    <xf numFmtId="191" fontId="90" fillId="0" borderId="0" xfId="9" applyNumberFormat="1" applyFont="1" applyFill="1" applyBorder="1" applyAlignment="1">
      <alignment horizontal="center"/>
    </xf>
    <xf numFmtId="0" fontId="90" fillId="0" borderId="0" xfId="9" applyFont="1" applyFill="1" applyBorder="1" applyAlignment="1">
      <alignment horizontal="center"/>
    </xf>
    <xf numFmtId="191" fontId="94" fillId="0" borderId="31" xfId="9" applyNumberFormat="1" applyFont="1" applyFill="1" applyBorder="1" applyAlignment="1">
      <alignment horizontal="center" vertical="top"/>
    </xf>
    <xf numFmtId="0" fontId="4" fillId="0" borderId="0" xfId="9" applyFont="1" applyAlignment="1">
      <alignment horizontal="right" vertical="center"/>
    </xf>
    <xf numFmtId="2" fontId="4" fillId="0" borderId="0" xfId="9" applyNumberFormat="1" applyFont="1" applyAlignment="1">
      <alignment horizontal="center" vertical="center"/>
    </xf>
    <xf numFmtId="0" fontId="4" fillId="0" borderId="0" xfId="9" applyFont="1" applyAlignment="1">
      <alignment vertical="center"/>
    </xf>
    <xf numFmtId="0" fontId="4" fillId="0" borderId="0" xfId="9" applyFont="1" applyAlignment="1"/>
    <xf numFmtId="3" fontId="4" fillId="0" borderId="0" xfId="11" applyNumberFormat="1" applyFont="1" applyAlignment="1"/>
    <xf numFmtId="191" fontId="4" fillId="0" borderId="0" xfId="11" applyNumberFormat="1" applyFont="1" applyAlignment="1"/>
    <xf numFmtId="0" fontId="19" fillId="10" borderId="22" xfId="9" applyFont="1" applyFill="1" applyBorder="1" applyAlignment="1">
      <alignment horizontal="center" vertical="top"/>
    </xf>
    <xf numFmtId="0" fontId="90" fillId="10" borderId="13" xfId="9" applyFont="1" applyFill="1" applyBorder="1" applyAlignment="1">
      <alignment horizontal="center" vertical="top"/>
    </xf>
    <xf numFmtId="191" fontId="90" fillId="10" borderId="14" xfId="9" applyNumberFormat="1" applyFont="1" applyFill="1" applyBorder="1" applyAlignment="1">
      <alignment horizontal="center" vertical="top"/>
    </xf>
    <xf numFmtId="191" fontId="90" fillId="10" borderId="12" xfId="9" applyNumberFormat="1" applyFont="1" applyFill="1" applyBorder="1" applyAlignment="1">
      <alignment horizontal="center" vertical="top"/>
    </xf>
    <xf numFmtId="191" fontId="92" fillId="10" borderId="14" xfId="9" applyNumberFormat="1" applyFont="1" applyFill="1" applyBorder="1" applyAlignment="1">
      <alignment horizontal="center" vertical="top"/>
    </xf>
    <xf numFmtId="191" fontId="90" fillId="10" borderId="13" xfId="9" applyNumberFormat="1" applyFont="1" applyFill="1" applyBorder="1" applyAlignment="1">
      <alignment horizontal="center" vertical="top"/>
    </xf>
    <xf numFmtId="191" fontId="90" fillId="10" borderId="0" xfId="9" applyNumberFormat="1" applyFont="1" applyFill="1" applyBorder="1" applyAlignment="1">
      <alignment horizontal="center" vertical="top"/>
    </xf>
    <xf numFmtId="191" fontId="93" fillId="10" borderId="12" xfId="9" applyNumberFormat="1" applyFont="1" applyFill="1" applyBorder="1" applyAlignment="1">
      <alignment horizontal="center" vertical="top"/>
    </xf>
    <xf numFmtId="194" fontId="90" fillId="10" borderId="14" xfId="10" applyNumberFormat="1" applyFont="1" applyFill="1" applyBorder="1" applyAlignment="1">
      <alignment horizontal="center"/>
    </xf>
    <xf numFmtId="0" fontId="90" fillId="10" borderId="13" xfId="9" applyFont="1" applyFill="1" applyBorder="1" applyAlignment="1">
      <alignment horizontal="center"/>
    </xf>
    <xf numFmtId="2" fontId="90" fillId="10" borderId="12" xfId="9" applyNumberFormat="1" applyFont="1" applyFill="1" applyBorder="1" applyAlignment="1">
      <alignment horizontal="center" vertical="top"/>
    </xf>
    <xf numFmtId="191" fontId="90" fillId="10" borderId="0" xfId="9" applyNumberFormat="1" applyFont="1" applyFill="1" applyBorder="1" applyAlignment="1">
      <alignment horizontal="center"/>
    </xf>
    <xf numFmtId="0" fontId="90" fillId="10" borderId="0" xfId="9" applyFont="1" applyFill="1" applyBorder="1" applyAlignment="1">
      <alignment horizontal="center"/>
    </xf>
    <xf numFmtId="191" fontId="94" fillId="10" borderId="31" xfId="9" applyNumberFormat="1" applyFont="1" applyFill="1" applyBorder="1" applyAlignment="1">
      <alignment horizontal="center" vertical="top"/>
    </xf>
    <xf numFmtId="200" fontId="4" fillId="0" borderId="0" xfId="9" applyNumberFormat="1" applyFont="1" applyAlignment="1">
      <alignment horizontal="center" vertical="center"/>
    </xf>
    <xf numFmtId="205" fontId="4" fillId="0" borderId="0" xfId="9" applyNumberFormat="1" applyFont="1" applyAlignment="1">
      <alignment horizontal="center" vertical="center"/>
    </xf>
    <xf numFmtId="0" fontId="19" fillId="0" borderId="22" xfId="9" applyFont="1" applyFill="1" applyBorder="1" applyAlignment="1">
      <alignment horizontal="center" vertical="top"/>
    </xf>
    <xf numFmtId="0" fontId="4" fillId="0" borderId="0" xfId="11" applyFont="1" applyAlignment="1"/>
    <xf numFmtId="0" fontId="19" fillId="0" borderId="22" xfId="9" applyFont="1" applyBorder="1" applyAlignment="1">
      <alignment horizontal="center" vertical="top"/>
    </xf>
    <xf numFmtId="0" fontId="90" fillId="0" borderId="13" xfId="9" applyFont="1" applyBorder="1" applyAlignment="1">
      <alignment horizontal="center" vertical="top"/>
    </xf>
    <xf numFmtId="191" fontId="90" fillId="0" borderId="14" xfId="9" applyNumberFormat="1" applyFont="1" applyBorder="1" applyAlignment="1">
      <alignment horizontal="center" vertical="top"/>
    </xf>
    <xf numFmtId="191" fontId="90" fillId="0" borderId="12" xfId="9" applyNumberFormat="1" applyFont="1" applyBorder="1" applyAlignment="1">
      <alignment horizontal="center" vertical="top"/>
    </xf>
    <xf numFmtId="191" fontId="92" fillId="5" borderId="14" xfId="9" applyNumberFormat="1" applyFont="1" applyFill="1" applyBorder="1" applyAlignment="1">
      <alignment horizontal="center" vertical="top"/>
    </xf>
    <xf numFmtId="191" fontId="90" fillId="5" borderId="13" xfId="9" applyNumberFormat="1" applyFont="1" applyFill="1" applyBorder="1" applyAlignment="1">
      <alignment horizontal="center" vertical="top"/>
    </xf>
    <xf numFmtId="191" fontId="90" fillId="5" borderId="14" xfId="9" applyNumberFormat="1" applyFont="1" applyFill="1" applyBorder="1" applyAlignment="1">
      <alignment horizontal="center" vertical="top"/>
    </xf>
    <xf numFmtId="191" fontId="90" fillId="5" borderId="12" xfId="9" applyNumberFormat="1" applyFont="1" applyFill="1" applyBorder="1" applyAlignment="1">
      <alignment horizontal="center" vertical="top"/>
    </xf>
    <xf numFmtId="191" fontId="90" fillId="5" borderId="0" xfId="9" applyNumberFormat="1" applyFont="1" applyFill="1" applyBorder="1" applyAlignment="1">
      <alignment horizontal="center" vertical="top"/>
    </xf>
    <xf numFmtId="191" fontId="93" fillId="5" borderId="12" xfId="9" applyNumberFormat="1" applyFont="1" applyFill="1" applyBorder="1" applyAlignment="1">
      <alignment horizontal="center" vertical="top"/>
    </xf>
    <xf numFmtId="194" fontId="90" fillId="0" borderId="14" xfId="10" applyNumberFormat="1" applyFont="1" applyBorder="1" applyAlignment="1">
      <alignment horizontal="center"/>
    </xf>
    <xf numFmtId="0" fontId="90" fillId="0" borderId="13" xfId="9" applyFont="1" applyBorder="1" applyAlignment="1">
      <alignment horizontal="center"/>
    </xf>
    <xf numFmtId="2" fontId="90" fillId="5" borderId="12" xfId="9" applyNumberFormat="1" applyFont="1" applyFill="1" applyBorder="1" applyAlignment="1">
      <alignment horizontal="center" vertical="top"/>
    </xf>
    <xf numFmtId="191" fontId="90" fillId="0" borderId="0" xfId="9" applyNumberFormat="1" applyFont="1" applyBorder="1" applyAlignment="1">
      <alignment horizontal="center"/>
    </xf>
    <xf numFmtId="0" fontId="90" fillId="0" borderId="0" xfId="9" applyFont="1" applyBorder="1" applyAlignment="1">
      <alignment horizontal="center"/>
    </xf>
    <xf numFmtId="191" fontId="94" fillId="5" borderId="31" xfId="9" applyNumberFormat="1" applyFont="1" applyFill="1" applyBorder="1" applyAlignment="1">
      <alignment horizontal="center" vertical="top"/>
    </xf>
    <xf numFmtId="191" fontId="4" fillId="10" borderId="0" xfId="11" applyNumberFormat="1" applyFont="1" applyFill="1" applyAlignment="1"/>
    <xf numFmtId="206" fontId="4" fillId="12" borderId="0" xfId="9" applyNumberFormat="1" applyFont="1" applyFill="1"/>
    <xf numFmtId="0" fontId="21" fillId="0" borderId="22" xfId="9" applyFont="1" applyBorder="1" applyAlignment="1">
      <alignment horizontal="center" vertical="center"/>
    </xf>
    <xf numFmtId="0" fontId="2" fillId="0" borderId="24" xfId="9" applyFont="1" applyBorder="1" applyAlignment="1">
      <alignment horizontal="center" vertical="top"/>
    </xf>
    <xf numFmtId="0" fontId="90" fillId="0" borderId="32" xfId="9" applyFont="1" applyBorder="1" applyAlignment="1">
      <alignment horizontal="center" vertical="top"/>
    </xf>
    <xf numFmtId="191" fontId="90" fillId="0" borderId="33" xfId="9" applyNumberFormat="1" applyFont="1" applyBorder="1" applyAlignment="1">
      <alignment horizontal="center" vertical="top"/>
    </xf>
    <xf numFmtId="191" fontId="92" fillId="5" borderId="34" xfId="9" applyNumberFormat="1" applyFont="1" applyFill="1" applyBorder="1" applyAlignment="1">
      <alignment vertical="top"/>
    </xf>
    <xf numFmtId="191" fontId="90" fillId="5" borderId="32" xfId="9" applyNumberFormat="1" applyFont="1" applyFill="1" applyBorder="1" applyAlignment="1">
      <alignment vertical="top"/>
    </xf>
    <xf numFmtId="191" fontId="90" fillId="5" borderId="33" xfId="9" applyNumberFormat="1" applyFont="1" applyFill="1" applyBorder="1" applyAlignment="1">
      <alignment vertical="top"/>
    </xf>
    <xf numFmtId="191" fontId="93" fillId="5" borderId="33" xfId="9" applyNumberFormat="1" applyFont="1" applyFill="1" applyBorder="1" applyAlignment="1">
      <alignment vertical="top"/>
    </xf>
    <xf numFmtId="194" fontId="90" fillId="0" borderId="33" xfId="10" applyNumberFormat="1" applyFont="1" applyBorder="1"/>
    <xf numFmtId="0" fontId="90" fillId="0" borderId="33" xfId="9" applyFont="1" applyBorder="1"/>
    <xf numFmtId="2" fontId="90" fillId="5" borderId="33" xfId="9" applyNumberFormat="1" applyFont="1" applyFill="1" applyBorder="1" applyAlignment="1">
      <alignment vertical="top"/>
    </xf>
    <xf numFmtId="191" fontId="90" fillId="0" borderId="33" xfId="9" applyNumberFormat="1" applyFont="1" applyBorder="1"/>
    <xf numFmtId="191" fontId="94" fillId="5" borderId="36" xfId="9" applyNumberFormat="1" applyFont="1" applyFill="1" applyBorder="1" applyAlignment="1">
      <alignment vertical="top"/>
    </xf>
    <xf numFmtId="0" fontId="91" fillId="0" borderId="0" xfId="9" applyFont="1" applyAlignment="1"/>
    <xf numFmtId="0" fontId="95" fillId="0" borderId="0" xfId="9" applyFont="1" applyAlignment="1">
      <alignment horizontal="left"/>
    </xf>
    <xf numFmtId="0" fontId="95" fillId="0" borderId="0" xfId="9" applyFont="1" applyAlignment="1">
      <alignment horizontal="center"/>
    </xf>
    <xf numFmtId="0" fontId="96" fillId="0" borderId="0" xfId="9" applyFont="1" applyAlignment="1"/>
    <xf numFmtId="0" fontId="96" fillId="0" borderId="0" xfId="9" applyFont="1" applyAlignment="1">
      <alignment horizontal="center"/>
    </xf>
    <xf numFmtId="191" fontId="97" fillId="0" borderId="0" xfId="9" applyNumberFormat="1" applyFont="1" applyBorder="1" applyAlignment="1">
      <alignment horizontal="center" vertical="top"/>
    </xf>
    <xf numFmtId="191" fontId="90" fillId="0" borderId="0" xfId="9" applyNumberFormat="1" applyFont="1" applyBorder="1" applyAlignment="1">
      <alignment horizontal="center" vertical="top"/>
    </xf>
    <xf numFmtId="194" fontId="19" fillId="0" borderId="0" xfId="10" applyNumberFormat="1" applyFont="1"/>
    <xf numFmtId="0" fontId="19" fillId="0" borderId="0" xfId="9" applyFont="1"/>
    <xf numFmtId="191" fontId="90" fillId="5" borderId="0" xfId="9" applyNumberFormat="1" applyFont="1" applyFill="1" applyBorder="1" applyAlignment="1">
      <alignment vertical="top"/>
    </xf>
    <xf numFmtId="2" fontId="90" fillId="5" borderId="0" xfId="9" applyNumberFormat="1" applyFont="1" applyFill="1" applyBorder="1" applyAlignment="1">
      <alignment vertical="top"/>
    </xf>
    <xf numFmtId="0" fontId="98" fillId="0" borderId="0" xfId="9" applyFont="1" applyAlignment="1"/>
    <xf numFmtId="0" fontId="98" fillId="0" borderId="0" xfId="9" applyFont="1" applyAlignment="1">
      <alignment horizontal="center"/>
    </xf>
    <xf numFmtId="0" fontId="95" fillId="0" borderId="0" xfId="9" applyFont="1"/>
    <xf numFmtId="191" fontId="98" fillId="5" borderId="0" xfId="9" applyNumberFormat="1" applyFont="1" applyFill="1" applyBorder="1" applyAlignment="1">
      <alignment vertical="top"/>
    </xf>
    <xf numFmtId="2" fontId="98" fillId="5" borderId="0" xfId="9" applyNumberFormat="1" applyFont="1" applyFill="1" applyBorder="1" applyAlignment="1">
      <alignment vertical="top"/>
    </xf>
    <xf numFmtId="0" fontId="98" fillId="0" borderId="0" xfId="9" applyFont="1" applyBorder="1" applyAlignment="1">
      <alignment horizontal="center" vertical="top"/>
    </xf>
    <xf numFmtId="0" fontId="99" fillId="0" borderId="0" xfId="9" applyFont="1" applyBorder="1" applyAlignment="1">
      <alignment horizontal="center" vertical="top"/>
    </xf>
    <xf numFmtId="0" fontId="12" fillId="0" borderId="0" xfId="9" applyFont="1" applyAlignment="1">
      <alignment vertical="top"/>
    </xf>
    <xf numFmtId="0" fontId="82" fillId="0" borderId="0" xfId="9" applyFont="1" applyAlignment="1">
      <alignment vertical="top"/>
    </xf>
    <xf numFmtId="0" fontId="100" fillId="0" borderId="0" xfId="9" applyFont="1" applyAlignment="1">
      <alignment vertical="top"/>
    </xf>
    <xf numFmtId="9" fontId="12" fillId="0" borderId="0" xfId="9" applyNumberFormat="1" applyFont="1" applyAlignment="1">
      <alignment horizontal="left" vertical="top"/>
    </xf>
    <xf numFmtId="0" fontId="101" fillId="0" borderId="0" xfId="9" applyFont="1" applyAlignment="1">
      <alignment horizontal="center" vertical="top"/>
    </xf>
    <xf numFmtId="9" fontId="12" fillId="0" borderId="0" xfId="9" applyNumberFormat="1" applyFont="1" applyAlignment="1">
      <alignment vertical="top"/>
    </xf>
    <xf numFmtId="9" fontId="102" fillId="0" borderId="0" xfId="9" applyNumberFormat="1" applyFont="1" applyBorder="1" applyAlignment="1">
      <alignment horizontal="left" vertical="top"/>
    </xf>
    <xf numFmtId="9" fontId="82" fillId="0" borderId="0" xfId="9" applyNumberFormat="1" applyFont="1" applyBorder="1" applyAlignment="1">
      <alignment horizontal="left" vertical="top"/>
    </xf>
    <xf numFmtId="0" fontId="100" fillId="0" borderId="0" xfId="9" applyFont="1" applyAlignment="1">
      <alignment horizontal="center" vertical="top"/>
    </xf>
    <xf numFmtId="0" fontId="82" fillId="0" borderId="0" xfId="9" applyFont="1" applyBorder="1" applyAlignment="1">
      <alignment horizontal="left" vertical="top"/>
    </xf>
    <xf numFmtId="0" fontId="4" fillId="0" borderId="0" xfId="9" applyFont="1" applyBorder="1" applyAlignment="1">
      <alignment vertical="top"/>
    </xf>
    <xf numFmtId="0" fontId="2" fillId="6" borderId="29" xfId="9" applyFont="1" applyFill="1" applyBorder="1" applyAlignment="1">
      <alignment horizontal="center" vertical="top"/>
    </xf>
    <xf numFmtId="0" fontId="2" fillId="6" borderId="28" xfId="9" applyFont="1" applyFill="1" applyBorder="1" applyAlignment="1">
      <alignment horizontal="center" vertical="top"/>
    </xf>
    <xf numFmtId="0" fontId="98" fillId="0" borderId="0" xfId="9" applyFont="1" applyFill="1" applyBorder="1" applyAlignment="1">
      <alignment horizontal="center" vertical="top"/>
    </xf>
    <xf numFmtId="0" fontId="98" fillId="0" borderId="3" xfId="9" applyFont="1" applyFill="1" applyBorder="1" applyAlignment="1">
      <alignment horizontal="center" vertical="top"/>
    </xf>
    <xf numFmtId="0" fontId="2" fillId="6" borderId="12" xfId="9" applyFont="1" applyFill="1" applyBorder="1" applyAlignment="1">
      <alignment horizontal="center" vertical="top"/>
    </xf>
    <xf numFmtId="0" fontId="2" fillId="6" borderId="12" xfId="9" applyFont="1" applyFill="1" applyBorder="1" applyAlignment="1">
      <alignment vertical="top"/>
    </xf>
    <xf numFmtId="0" fontId="2" fillId="0" borderId="0" xfId="9" applyFont="1" applyFill="1" applyBorder="1" applyAlignment="1">
      <alignment horizontal="center" vertical="center"/>
    </xf>
    <xf numFmtId="0" fontId="2" fillId="0" borderId="12" xfId="9" applyFont="1" applyFill="1" applyBorder="1" applyAlignment="1">
      <alignment horizontal="center" vertical="center"/>
    </xf>
    <xf numFmtId="0" fontId="2" fillId="6" borderId="22" xfId="9" applyFont="1" applyFill="1" applyBorder="1" applyAlignment="1">
      <alignment vertical="top"/>
    </xf>
    <xf numFmtId="0" fontId="2" fillId="6" borderId="13" xfId="9" applyFont="1" applyFill="1" applyBorder="1" applyAlignment="1">
      <alignment vertical="top"/>
    </xf>
    <xf numFmtId="0" fontId="2" fillId="6" borderId="3" xfId="9" applyFont="1" applyFill="1" applyBorder="1" applyAlignment="1">
      <alignment horizontal="center" vertical="top"/>
    </xf>
    <xf numFmtId="0" fontId="4" fillId="0" borderId="0" xfId="9" applyFont="1" applyFill="1" applyBorder="1" applyAlignment="1">
      <alignment horizontal="center" vertical="center"/>
    </xf>
    <xf numFmtId="0" fontId="4" fillId="0" borderId="12" xfId="9" applyFont="1" applyFill="1" applyBorder="1" applyAlignment="1">
      <alignment horizontal="center" vertical="center"/>
    </xf>
    <xf numFmtId="0" fontId="2" fillId="6" borderId="33" xfId="9" applyFont="1" applyFill="1" applyBorder="1" applyAlignment="1">
      <alignment horizontal="center" vertical="top"/>
    </xf>
    <xf numFmtId="0" fontId="2" fillId="6" borderId="33" xfId="9" applyFont="1" applyFill="1" applyBorder="1" applyAlignment="1">
      <alignment vertical="top"/>
    </xf>
    <xf numFmtId="0" fontId="2" fillId="6" borderId="35" xfId="9" applyFont="1" applyFill="1" applyBorder="1" applyAlignment="1">
      <alignment vertical="top"/>
    </xf>
    <xf numFmtId="0" fontId="98" fillId="0" borderId="8" xfId="9" applyFont="1" applyFill="1" applyBorder="1" applyAlignment="1">
      <alignment horizontal="center" vertical="top"/>
    </xf>
    <xf numFmtId="0" fontId="103" fillId="0" borderId="22" xfId="9" applyFont="1" applyFill="1" applyBorder="1" applyAlignment="1">
      <alignment horizontal="right" vertical="center"/>
    </xf>
    <xf numFmtId="0" fontId="2" fillId="0" borderId="13" xfId="9" applyFont="1" applyFill="1" applyBorder="1" applyAlignment="1">
      <alignment horizontal="center"/>
    </xf>
    <xf numFmtId="191" fontId="2" fillId="0" borderId="14" xfId="9" applyNumberFormat="1" applyFont="1" applyFill="1" applyBorder="1" applyAlignment="1">
      <alignment horizontal="center"/>
    </xf>
    <xf numFmtId="191" fontId="91" fillId="0" borderId="14" xfId="9" applyNumberFormat="1" applyFont="1" applyFill="1" applyBorder="1" applyAlignment="1">
      <alignment horizontal="center"/>
    </xf>
    <xf numFmtId="191" fontId="86" fillId="0" borderId="12" xfId="9" applyNumberFormat="1" applyFont="1" applyFill="1" applyBorder="1" applyAlignment="1">
      <alignment horizontal="center"/>
    </xf>
    <xf numFmtId="191" fontId="2" fillId="0" borderId="12" xfId="9" applyNumberFormat="1" applyFont="1" applyFill="1" applyBorder="1" applyAlignment="1">
      <alignment horizontal="center"/>
    </xf>
    <xf numFmtId="191" fontId="2" fillId="0" borderId="0" xfId="9" applyNumberFormat="1" applyFont="1" applyFill="1" applyBorder="1" applyAlignment="1">
      <alignment horizontal="center"/>
    </xf>
    <xf numFmtId="191" fontId="104" fillId="0" borderId="0" xfId="9" applyNumberFormat="1" applyFont="1" applyFill="1" applyBorder="1" applyAlignment="1"/>
    <xf numFmtId="191" fontId="2" fillId="5" borderId="23" xfId="9" applyNumberFormat="1" applyFont="1" applyFill="1" applyBorder="1" applyAlignment="1"/>
    <xf numFmtId="191" fontId="98" fillId="5" borderId="0" xfId="9" applyNumberFormat="1" applyFont="1" applyFill="1" applyBorder="1" applyAlignment="1"/>
    <xf numFmtId="191" fontId="98" fillId="5" borderId="3" xfId="9" applyNumberFormat="1" applyFont="1" applyFill="1" applyBorder="1" applyAlignment="1"/>
    <xf numFmtId="2" fontId="98" fillId="5" borderId="3" xfId="9" applyNumberFormat="1" applyFont="1" applyFill="1" applyBorder="1" applyAlignment="1"/>
    <xf numFmtId="2" fontId="98" fillId="5" borderId="0" xfId="9" applyNumberFormat="1" applyFont="1" applyFill="1" applyBorder="1" applyAlignment="1"/>
    <xf numFmtId="191" fontId="4" fillId="0" borderId="4" xfId="9" applyNumberFormat="1" applyFont="1" applyBorder="1" applyAlignment="1"/>
    <xf numFmtId="191" fontId="4" fillId="0" borderId="11" xfId="9" applyNumberFormat="1" applyFont="1" applyBorder="1" applyAlignment="1"/>
    <xf numFmtId="4" fontId="4" fillId="0" borderId="0" xfId="11" applyNumberFormat="1" applyFont="1" applyAlignment="1"/>
    <xf numFmtId="0" fontId="98" fillId="0" borderId="22" xfId="9" applyFont="1" applyFill="1" applyBorder="1" applyAlignment="1">
      <alignment horizontal="center" vertical="top"/>
    </xf>
    <xf numFmtId="0" fontId="2" fillId="0" borderId="13" xfId="9" applyFont="1" applyFill="1" applyBorder="1" applyAlignment="1">
      <alignment horizontal="center" vertical="top"/>
    </xf>
    <xf numFmtId="191" fontId="2" fillId="0" borderId="14" xfId="9" applyNumberFormat="1" applyFont="1" applyFill="1" applyBorder="1" applyAlignment="1">
      <alignment horizontal="center" vertical="top"/>
    </xf>
    <xf numFmtId="191" fontId="91" fillId="0" borderId="14" xfId="9" applyNumberFormat="1" applyFont="1" applyFill="1" applyBorder="1" applyAlignment="1">
      <alignment horizontal="center" vertical="top"/>
    </xf>
    <xf numFmtId="191" fontId="86" fillId="0" borderId="12" xfId="9" applyNumberFormat="1" applyFont="1" applyFill="1" applyBorder="1" applyAlignment="1">
      <alignment horizontal="center" vertical="top"/>
    </xf>
    <xf numFmtId="191" fontId="2" fillId="0" borderId="12" xfId="9" applyNumberFormat="1" applyFont="1" applyFill="1" applyBorder="1" applyAlignment="1">
      <alignment horizontal="center" vertical="top"/>
    </xf>
    <xf numFmtId="191" fontId="2" fillId="0" borderId="0" xfId="9" applyNumberFormat="1" applyFont="1" applyFill="1" applyBorder="1" applyAlignment="1">
      <alignment horizontal="center" vertical="top"/>
    </xf>
    <xf numFmtId="191" fontId="104" fillId="0" borderId="0" xfId="9" applyNumberFormat="1" applyFont="1" applyFill="1" applyBorder="1" applyAlignment="1">
      <alignment vertical="top"/>
    </xf>
    <xf numFmtId="191" fontId="2" fillId="5" borderId="23" xfId="9" applyNumberFormat="1" applyFont="1" applyFill="1" applyBorder="1" applyAlignment="1">
      <alignment vertical="top"/>
    </xf>
    <xf numFmtId="191" fontId="98" fillId="5" borderId="12" xfId="9" applyNumberFormat="1" applyFont="1" applyFill="1" applyBorder="1" applyAlignment="1">
      <alignment vertical="top"/>
    </xf>
    <xf numFmtId="2" fontId="98" fillId="5" borderId="12" xfId="9" applyNumberFormat="1" applyFont="1" applyFill="1" applyBorder="1" applyAlignment="1">
      <alignment vertical="top"/>
    </xf>
    <xf numFmtId="191" fontId="4" fillId="0" borderId="14" xfId="9" applyNumberFormat="1" applyFont="1" applyBorder="1"/>
    <xf numFmtId="191" fontId="4" fillId="0" borderId="13" xfId="9" applyNumberFormat="1" applyFont="1" applyBorder="1"/>
    <xf numFmtId="191" fontId="2" fillId="0" borderId="23" xfId="9" applyNumberFormat="1" applyFont="1" applyFill="1" applyBorder="1" applyAlignment="1">
      <alignment vertical="top"/>
    </xf>
    <xf numFmtId="0" fontId="98" fillId="0" borderId="22" xfId="9" applyFont="1" applyBorder="1" applyAlignment="1">
      <alignment horizontal="center" vertical="top"/>
    </xf>
    <xf numFmtId="0" fontId="2" fillId="0" borderId="13" xfId="9" applyFont="1" applyBorder="1" applyAlignment="1">
      <alignment horizontal="center" vertical="top"/>
    </xf>
    <xf numFmtId="191" fontId="2" fillId="0" borderId="14" xfId="9" applyNumberFormat="1" applyFont="1" applyBorder="1" applyAlignment="1">
      <alignment horizontal="center" vertical="top"/>
    </xf>
    <xf numFmtId="191" fontId="91" fillId="0" borderId="14" xfId="9" applyNumberFormat="1" applyFont="1" applyBorder="1" applyAlignment="1">
      <alignment horizontal="center" vertical="top"/>
    </xf>
    <xf numFmtId="191" fontId="86" fillId="0" borderId="12" xfId="9" applyNumberFormat="1" applyFont="1" applyBorder="1" applyAlignment="1">
      <alignment horizontal="center" vertical="top"/>
    </xf>
    <xf numFmtId="191" fontId="2" fillId="0" borderId="12" xfId="9" applyNumberFormat="1" applyFont="1" applyBorder="1" applyAlignment="1">
      <alignment horizontal="center" vertical="top"/>
    </xf>
    <xf numFmtId="191" fontId="2" fillId="0" borderId="0" xfId="9" applyNumberFormat="1" applyFont="1" applyBorder="1" applyAlignment="1">
      <alignment horizontal="center" vertical="top"/>
    </xf>
    <xf numFmtId="191" fontId="104" fillId="5" borderId="0" xfId="9" applyNumberFormat="1" applyFont="1" applyFill="1" applyBorder="1" applyAlignment="1">
      <alignment vertical="top"/>
    </xf>
    <xf numFmtId="0" fontId="103" fillId="0" borderId="24" xfId="9" applyFont="1" applyBorder="1" applyAlignment="1">
      <alignment horizontal="right" vertical="center"/>
    </xf>
    <xf numFmtId="0" fontId="2" fillId="0" borderId="32" xfId="9" applyFont="1" applyBorder="1" applyAlignment="1">
      <alignment horizontal="center" vertical="center"/>
    </xf>
    <xf numFmtId="191" fontId="2" fillId="0" borderId="33" xfId="9" applyNumberFormat="1" applyFont="1" applyBorder="1" applyAlignment="1">
      <alignment horizontal="center" vertical="center"/>
    </xf>
    <xf numFmtId="191" fontId="2" fillId="0" borderId="34" xfId="9" applyNumberFormat="1" applyFont="1" applyBorder="1" applyAlignment="1">
      <alignment horizontal="center" vertical="center"/>
    </xf>
    <xf numFmtId="191" fontId="91" fillId="0" borderId="34" xfId="9" applyNumberFormat="1" applyFont="1" applyBorder="1" applyAlignment="1">
      <alignment horizontal="center" vertical="center"/>
    </xf>
    <xf numFmtId="191" fontId="86" fillId="0" borderId="33" xfId="9" applyNumberFormat="1" applyFont="1" applyBorder="1" applyAlignment="1">
      <alignment horizontal="center" vertical="center"/>
    </xf>
    <xf numFmtId="191" fontId="104" fillId="5" borderId="35" xfId="9" applyNumberFormat="1" applyFont="1" applyFill="1" applyBorder="1" applyAlignment="1">
      <alignment vertical="center"/>
    </xf>
    <xf numFmtId="191" fontId="2" fillId="5" borderId="25" xfId="9" applyNumberFormat="1" applyFont="1" applyFill="1" applyBorder="1" applyAlignment="1">
      <alignment vertical="center"/>
    </xf>
    <xf numFmtId="191" fontId="98" fillId="5" borderId="0" xfId="9" applyNumberFormat="1" applyFont="1" applyFill="1" applyBorder="1" applyAlignment="1">
      <alignment vertical="center"/>
    </xf>
    <xf numFmtId="191" fontId="98" fillId="5" borderId="8" xfId="9" applyNumberFormat="1" applyFont="1" applyFill="1" applyBorder="1" applyAlignment="1">
      <alignment vertical="center"/>
    </xf>
    <xf numFmtId="2" fontId="98" fillId="5" borderId="8" xfId="9" applyNumberFormat="1" applyFont="1" applyFill="1" applyBorder="1" applyAlignment="1">
      <alignment vertical="center"/>
    </xf>
    <xf numFmtId="191" fontId="4" fillId="0" borderId="9" xfId="9" applyNumberFormat="1" applyFont="1" applyBorder="1" applyAlignment="1">
      <alignment vertical="center"/>
    </xf>
    <xf numFmtId="191" fontId="4" fillId="0" borderId="15" xfId="9" applyNumberFormat="1" applyFont="1" applyBorder="1" applyAlignment="1">
      <alignment vertical="center"/>
    </xf>
    <xf numFmtId="0" fontId="2" fillId="0" borderId="0" xfId="9" applyFont="1" applyBorder="1" applyAlignment="1">
      <alignment horizontal="center" vertical="top"/>
    </xf>
    <xf numFmtId="191" fontId="2" fillId="5" borderId="0" xfId="9" applyNumberFormat="1" applyFont="1" applyFill="1" applyBorder="1" applyAlignment="1">
      <alignment vertical="top"/>
    </xf>
    <xf numFmtId="191" fontId="4" fillId="0" borderId="0" xfId="9" applyNumberFormat="1" applyFont="1" applyBorder="1"/>
    <xf numFmtId="0" fontId="105" fillId="0" borderId="0" xfId="9" applyFont="1" applyBorder="1" applyAlignment="1">
      <alignment vertical="top"/>
    </xf>
    <xf numFmtId="0" fontId="88" fillId="0" borderId="0" xfId="9" applyFont="1" applyAlignment="1"/>
    <xf numFmtId="0" fontId="106" fillId="0" borderId="0" xfId="9" applyFont="1" applyAlignment="1">
      <alignment horizontal="left"/>
    </xf>
    <xf numFmtId="0" fontId="106" fillId="0" borderId="0" xfId="9" applyFont="1" applyAlignment="1">
      <alignment horizontal="center"/>
    </xf>
    <xf numFmtId="0" fontId="106" fillId="0" borderId="0" xfId="9" applyFont="1" applyAlignment="1"/>
    <xf numFmtId="191" fontId="85" fillId="0" borderId="0" xfId="9" applyNumberFormat="1" applyFont="1" applyBorder="1" applyAlignment="1">
      <alignment horizontal="center" vertical="top"/>
    </xf>
    <xf numFmtId="0" fontId="4" fillId="0" borderId="0" xfId="9" applyFont="1" applyBorder="1"/>
    <xf numFmtId="0" fontId="20" fillId="0" borderId="0" xfId="9" applyFont="1" applyBorder="1" applyAlignment="1">
      <alignment vertical="top"/>
    </xf>
    <xf numFmtId="0" fontId="106" fillId="0" borderId="0" xfId="9" applyFont="1"/>
    <xf numFmtId="191" fontId="98" fillId="0" borderId="0" xfId="9" applyNumberFormat="1" applyFont="1" applyBorder="1" applyAlignment="1">
      <alignment horizontal="center" vertical="top"/>
    </xf>
    <xf numFmtId="191" fontId="20" fillId="5" borderId="0" xfId="9" applyNumberFormat="1" applyFont="1" applyFill="1" applyBorder="1" applyAlignment="1">
      <alignment vertical="top"/>
    </xf>
    <xf numFmtId="191" fontId="98" fillId="5" borderId="0" xfId="9" applyNumberFormat="1" applyFont="1" applyFill="1" applyBorder="1" applyAlignment="1">
      <alignment horizontal="center" vertical="top"/>
    </xf>
    <xf numFmtId="0" fontId="98" fillId="0" borderId="0" xfId="9" applyFont="1" applyBorder="1" applyAlignment="1">
      <alignment horizontal="center"/>
    </xf>
    <xf numFmtId="0" fontId="84" fillId="0" borderId="0" xfId="9" applyFont="1" applyFill="1" applyBorder="1" applyAlignment="1">
      <alignment horizontal="center"/>
    </xf>
    <xf numFmtId="0" fontId="5" fillId="0" borderId="0" xfId="7" applyFont="1" applyFill="1" applyAlignment="1">
      <alignment horizontal="center"/>
    </xf>
    <xf numFmtId="4" fontId="4" fillId="0" borderId="8" xfId="4" applyNumberFormat="1" applyFont="1" applyBorder="1" applyAlignment="1" applyProtection="1"/>
    <xf numFmtId="2" fontId="5" fillId="3" borderId="1" xfId="7" applyNumberFormat="1" applyFont="1" applyFill="1" applyBorder="1" applyAlignment="1">
      <alignment horizontal="center"/>
    </xf>
    <xf numFmtId="0" fontId="82" fillId="3" borderId="3" xfId="7" applyFont="1" applyFill="1" applyBorder="1" applyAlignment="1">
      <alignment horizontal="center"/>
    </xf>
    <xf numFmtId="0" fontId="82" fillId="3" borderId="12" xfId="7" applyFont="1" applyFill="1" applyBorder="1" applyAlignment="1">
      <alignment horizontal="center"/>
    </xf>
    <xf numFmtId="0" fontId="82" fillId="3" borderId="12" xfId="7" applyFont="1" applyFill="1" applyBorder="1"/>
    <xf numFmtId="0" fontId="82" fillId="3" borderId="8" xfId="7" applyFont="1" applyFill="1" applyBorder="1" applyAlignment="1">
      <alignment horizontal="center"/>
    </xf>
    <xf numFmtId="0" fontId="83" fillId="3" borderId="66" xfId="7" applyFont="1" applyFill="1" applyBorder="1"/>
    <xf numFmtId="2" fontId="83" fillId="3" borderId="0" xfId="7" applyNumberFormat="1" applyFont="1" applyFill="1"/>
    <xf numFmtId="2" fontId="83" fillId="3" borderId="66" xfId="7" applyNumberFormat="1" applyFont="1" applyFill="1" applyBorder="1"/>
    <xf numFmtId="0" fontId="83" fillId="3" borderId="12" xfId="7" applyFont="1" applyFill="1" applyBorder="1"/>
    <xf numFmtId="2" fontId="83" fillId="3" borderId="12" xfId="7" applyNumberFormat="1" applyFont="1" applyFill="1" applyBorder="1"/>
    <xf numFmtId="0" fontId="83" fillId="3" borderId="8" xfId="7" applyFont="1" applyFill="1" applyBorder="1"/>
    <xf numFmtId="2" fontId="83" fillId="3" borderId="9" xfId="7" applyNumberFormat="1" applyFont="1" applyFill="1" applyBorder="1"/>
    <xf numFmtId="2" fontId="83" fillId="3" borderId="8" xfId="7" applyNumberFormat="1" applyFont="1" applyFill="1" applyBorder="1"/>
    <xf numFmtId="0" fontId="83" fillId="3" borderId="67" xfId="7" applyFont="1" applyFill="1" applyBorder="1"/>
    <xf numFmtId="2" fontId="83" fillId="3" borderId="67" xfId="7" applyNumberFormat="1" applyFont="1" applyFill="1" applyBorder="1"/>
    <xf numFmtId="0" fontId="83" fillId="3" borderId="14" xfId="7" applyFont="1" applyFill="1" applyBorder="1"/>
    <xf numFmtId="2" fontId="83" fillId="3" borderId="14" xfId="7" applyNumberFormat="1" applyFont="1" applyFill="1" applyBorder="1"/>
    <xf numFmtId="0" fontId="83" fillId="3" borderId="9" xfId="7" applyFont="1" applyFill="1" applyBorder="1"/>
    <xf numFmtId="2" fontId="83" fillId="3" borderId="10" xfId="7" applyNumberFormat="1" applyFont="1" applyFill="1" applyBorder="1"/>
    <xf numFmtId="0" fontId="83" fillId="3" borderId="67" xfId="7" applyFont="1" applyFill="1" applyBorder="1" applyAlignment="1">
      <alignment horizontal="center"/>
    </xf>
    <xf numFmtId="2" fontId="83" fillId="3" borderId="68" xfId="7" applyNumberFormat="1" applyFont="1" applyFill="1" applyBorder="1" applyAlignment="1">
      <alignment horizontal="center"/>
    </xf>
    <xf numFmtId="2" fontId="83" fillId="3" borderId="69" xfId="7" applyNumberFormat="1" applyFont="1" applyFill="1" applyBorder="1" applyAlignment="1">
      <alignment horizontal="center"/>
    </xf>
    <xf numFmtId="0" fontId="83" fillId="3" borderId="14" xfId="7" applyFont="1" applyFill="1" applyBorder="1" applyAlignment="1">
      <alignment horizontal="center"/>
    </xf>
    <xf numFmtId="2" fontId="83" fillId="3" borderId="0" xfId="7" applyNumberFormat="1" applyFont="1" applyFill="1" applyBorder="1" applyAlignment="1">
      <alignment horizontal="center"/>
    </xf>
    <xf numFmtId="2" fontId="83" fillId="3" borderId="13" xfId="7" applyNumberFormat="1" applyFont="1" applyFill="1" applyBorder="1" applyAlignment="1">
      <alignment horizontal="center"/>
    </xf>
    <xf numFmtId="0" fontId="83" fillId="3" borderId="9" xfId="7" applyFont="1" applyFill="1" applyBorder="1" applyAlignment="1">
      <alignment horizontal="center"/>
    </xf>
    <xf numFmtId="2" fontId="83" fillId="3" borderId="10" xfId="7" applyNumberFormat="1" applyFont="1" applyFill="1" applyBorder="1" applyAlignment="1">
      <alignment horizontal="center"/>
    </xf>
    <xf numFmtId="2" fontId="83" fillId="3" borderId="15" xfId="7" applyNumberFormat="1" applyFont="1" applyFill="1" applyBorder="1" applyAlignment="1">
      <alignment horizontal="center"/>
    </xf>
    <xf numFmtId="187" fontId="4" fillId="3" borderId="20" xfId="4" applyNumberFormat="1" applyFont="1" applyFill="1" applyBorder="1" applyAlignment="1"/>
    <xf numFmtId="187" fontId="4" fillId="3" borderId="28" xfId="4" applyNumberFormat="1" applyFont="1" applyFill="1" applyBorder="1" applyAlignment="1"/>
    <xf numFmtId="2" fontId="2" fillId="3" borderId="42" xfId="4" applyNumberFormat="1" applyFont="1" applyFill="1" applyBorder="1" applyAlignment="1">
      <alignment horizontal="center"/>
    </xf>
    <xf numFmtId="187" fontId="4" fillId="3" borderId="83" xfId="4" applyNumberFormat="1" applyFont="1" applyFill="1" applyBorder="1" applyAlignment="1"/>
    <xf numFmtId="187" fontId="4" fillId="3" borderId="10" xfId="4" applyNumberFormat="1" applyFont="1" applyFill="1" applyBorder="1" applyAlignment="1"/>
    <xf numFmtId="2" fontId="2" fillId="3" borderId="84" xfId="4" applyNumberFormat="1" applyFont="1" applyFill="1" applyBorder="1" applyAlignment="1">
      <alignment horizontal="center"/>
    </xf>
    <xf numFmtId="187" fontId="4" fillId="3" borderId="1" xfId="4" applyNumberFormat="1" applyFont="1" applyFill="1" applyBorder="1" applyAlignment="1" applyProtection="1">
      <alignment horizontal="center"/>
    </xf>
    <xf numFmtId="187" fontId="4" fillId="3" borderId="45" xfId="4" applyNumberFormat="1" applyFont="1" applyFill="1" applyBorder="1" applyAlignment="1" applyProtection="1">
      <alignment horizontal="center"/>
    </xf>
    <xf numFmtId="187" fontId="4" fillId="3" borderId="73" xfId="4" applyNumberFormat="1" applyFont="1" applyFill="1" applyBorder="1" applyAlignment="1" applyProtection="1"/>
    <xf numFmtId="187" fontId="4" fillId="3" borderId="69" xfId="4" applyNumberFormat="1" applyFont="1" applyFill="1" applyBorder="1" applyAlignment="1" applyProtection="1"/>
    <xf numFmtId="187" fontId="4" fillId="3" borderId="85" xfId="4" applyNumberFormat="1" applyFont="1" applyFill="1" applyBorder="1" applyAlignment="1" applyProtection="1"/>
    <xf numFmtId="4" fontId="4" fillId="3" borderId="13" xfId="4" applyNumberFormat="1" applyFont="1" applyFill="1" applyBorder="1" applyAlignment="1" applyProtection="1"/>
    <xf numFmtId="4" fontId="4" fillId="3" borderId="23" xfId="4" applyNumberFormat="1" applyFont="1" applyFill="1" applyBorder="1" applyAlignment="1" applyProtection="1"/>
    <xf numFmtId="4" fontId="4" fillId="3" borderId="74" xfId="4" applyNumberFormat="1" applyFont="1" applyFill="1" applyBorder="1" applyAlignment="1"/>
    <xf numFmtId="4" fontId="4" fillId="3" borderId="13" xfId="4" applyNumberFormat="1" applyFont="1" applyFill="1" applyBorder="1" applyAlignment="1"/>
    <xf numFmtId="4" fontId="4" fillId="3" borderId="23" xfId="4" applyNumberFormat="1" applyFont="1" applyFill="1" applyBorder="1" applyAlignment="1"/>
    <xf numFmtId="4" fontId="4" fillId="3" borderId="75" xfId="4" applyNumberFormat="1" applyFont="1" applyFill="1" applyBorder="1" applyAlignment="1"/>
    <xf numFmtId="4" fontId="4" fillId="3" borderId="86" xfId="4" applyNumberFormat="1" applyFont="1" applyFill="1" applyBorder="1" applyAlignment="1"/>
    <xf numFmtId="4" fontId="4" fillId="3" borderId="87" xfId="4" applyNumberFormat="1" applyFont="1" applyFill="1" applyBorder="1" applyAlignment="1" applyProtection="1"/>
    <xf numFmtId="4" fontId="4" fillId="3" borderId="88" xfId="4" applyNumberFormat="1" applyFont="1" applyFill="1" applyBorder="1" applyAlignment="1" applyProtection="1"/>
    <xf numFmtId="4" fontId="4" fillId="3" borderId="74" xfId="4" applyNumberFormat="1" applyFont="1" applyFill="1" applyBorder="1" applyAlignment="1" applyProtection="1"/>
    <xf numFmtId="2" fontId="0" fillId="3" borderId="12" xfId="0" applyNumberFormat="1" applyFill="1" applyBorder="1"/>
    <xf numFmtId="2" fontId="0" fillId="3" borderId="66" xfId="0" applyNumberFormat="1" applyFill="1" applyBorder="1"/>
    <xf numFmtId="2" fontId="0" fillId="3" borderId="8" xfId="0" applyNumberFormat="1" applyFill="1" applyBorder="1"/>
    <xf numFmtId="2" fontId="0" fillId="3" borderId="68" xfId="0" applyNumberFormat="1" applyFill="1" applyBorder="1" applyAlignment="1">
      <alignment horizontal="center"/>
    </xf>
    <xf numFmtId="2" fontId="0" fillId="3" borderId="69" xfId="0" applyNumberFormat="1" applyFill="1" applyBorder="1" applyAlignment="1">
      <alignment horizontal="center"/>
    </xf>
    <xf numFmtId="0" fontId="108" fillId="0" borderId="0" xfId="0" applyFont="1"/>
    <xf numFmtId="0" fontId="108" fillId="0" borderId="0" xfId="0" applyFont="1" applyAlignment="1">
      <alignment horizontal="center"/>
    </xf>
    <xf numFmtId="0" fontId="109" fillId="0" borderId="0" xfId="0" quotePrefix="1" applyFont="1" applyAlignment="1" applyProtection="1">
      <alignment horizontal="left"/>
      <protection locked="0"/>
    </xf>
    <xf numFmtId="0" fontId="109" fillId="0" borderId="0" xfId="0" applyFont="1" applyAlignment="1" applyProtection="1">
      <alignment horizontal="centerContinuous"/>
      <protection locked="0"/>
    </xf>
    <xf numFmtId="0" fontId="109" fillId="0" borderId="0" xfId="0" applyFont="1" applyAlignment="1" applyProtection="1">
      <protection locked="0"/>
    </xf>
    <xf numFmtId="0" fontId="109" fillId="0" borderId="0" xfId="0" applyFont="1" applyAlignment="1" applyProtection="1">
      <alignment horizontal="center"/>
      <protection locked="0"/>
    </xf>
    <xf numFmtId="188" fontId="108" fillId="0" borderId="0" xfId="0" applyNumberFormat="1" applyFont="1" applyAlignment="1">
      <alignment horizontal="center"/>
    </xf>
    <xf numFmtId="0" fontId="109" fillId="3" borderId="0" xfId="0" applyFont="1" applyFill="1" applyAlignment="1" applyProtection="1">
      <protection locked="0"/>
    </xf>
    <xf numFmtId="0" fontId="109" fillId="3" borderId="0" xfId="0" quotePrefix="1" applyFont="1" applyFill="1" applyAlignment="1" applyProtection="1">
      <alignment horizontal="left"/>
      <protection locked="0"/>
    </xf>
    <xf numFmtId="2" fontId="109" fillId="3" borderId="0" xfId="0" applyNumberFormat="1" applyFont="1" applyFill="1" applyAlignment="1" applyProtection="1">
      <alignment horizontal="center"/>
      <protection locked="0"/>
    </xf>
    <xf numFmtId="2" fontId="109" fillId="3" borderId="0" xfId="0" quotePrefix="1" applyNumberFormat="1" applyFont="1" applyFill="1" applyAlignment="1" applyProtection="1">
      <alignment horizontal="centerContinuous"/>
      <protection locked="0"/>
    </xf>
    <xf numFmtId="2" fontId="109" fillId="0" borderId="0" xfId="0" applyNumberFormat="1" applyFont="1" applyAlignment="1" applyProtection="1">
      <alignment horizontal="centerContinuous"/>
      <protection locked="0"/>
    </xf>
    <xf numFmtId="0" fontId="109" fillId="0" borderId="0" xfId="0" applyFont="1" applyAlignment="1" applyProtection="1">
      <alignment horizontal="left"/>
      <protection locked="0"/>
    </xf>
    <xf numFmtId="0" fontId="109" fillId="11" borderId="0" xfId="0" applyFont="1" applyFill="1" applyAlignment="1" applyProtection="1">
      <alignment horizontal="left"/>
      <protection locked="0"/>
    </xf>
    <xf numFmtId="0" fontId="109" fillId="11" borderId="0" xfId="0" quotePrefix="1" applyFont="1" applyFill="1" applyAlignment="1" applyProtection="1">
      <alignment horizontal="left"/>
      <protection locked="0"/>
    </xf>
    <xf numFmtId="0" fontId="108" fillId="11" borderId="0" xfId="0" applyFont="1" applyFill="1"/>
    <xf numFmtId="0" fontId="109" fillId="0" borderId="0" xfId="0" applyFont="1" applyFill="1" applyAlignment="1" applyProtection="1">
      <alignment horizontal="left"/>
      <protection locked="0"/>
    </xf>
    <xf numFmtId="200" fontId="109" fillId="11" borderId="0" xfId="0" applyNumberFormat="1" applyFont="1" applyFill="1" applyAlignment="1">
      <alignment horizontal="center"/>
    </xf>
    <xf numFmtId="0" fontId="109" fillId="0" borderId="0" xfId="0" applyFont="1" applyFill="1" applyAlignment="1" applyProtection="1">
      <alignment horizontal="right"/>
      <protection locked="0"/>
    </xf>
    <xf numFmtId="200" fontId="109" fillId="11" borderId="0" xfId="0" applyNumberFormat="1" applyFont="1" applyFill="1" applyBorder="1" applyAlignment="1">
      <alignment horizontal="center"/>
    </xf>
    <xf numFmtId="202" fontId="109" fillId="11" borderId="0" xfId="0" quotePrefix="1" applyNumberFormat="1" applyFont="1" applyFill="1" applyAlignment="1" applyProtection="1">
      <alignment horizontal="center"/>
      <protection locked="0"/>
    </xf>
    <xf numFmtId="0" fontId="108" fillId="0" borderId="0" xfId="0" applyFont="1" applyAlignment="1">
      <alignment horizontal="right"/>
    </xf>
    <xf numFmtId="187" fontId="108" fillId="0" borderId="0" xfId="0" applyNumberFormat="1" applyFont="1"/>
    <xf numFmtId="207" fontId="108" fillId="0" borderId="0" xfId="0" applyNumberFormat="1" applyFont="1"/>
    <xf numFmtId="43" fontId="108" fillId="0" borderId="0" xfId="1" applyFont="1"/>
    <xf numFmtId="0" fontId="109" fillId="0" borderId="0" xfId="0" quotePrefix="1" applyFont="1" applyFill="1" applyAlignment="1" applyProtection="1">
      <alignment horizontal="left"/>
      <protection locked="0"/>
    </xf>
    <xf numFmtId="0" fontId="109" fillId="0" borderId="0" xfId="0" applyFont="1" applyProtection="1">
      <protection locked="0"/>
    </xf>
    <xf numFmtId="0" fontId="109" fillId="0" borderId="0" xfId="0" applyFont="1" applyFill="1" applyAlignment="1" applyProtection="1">
      <alignment horizontal="center"/>
      <protection locked="0"/>
    </xf>
    <xf numFmtId="223" fontId="109" fillId="11" borderId="0" xfId="0" applyNumberFormat="1" applyFont="1" applyFill="1" applyAlignment="1" applyProtection="1">
      <alignment horizontal="center"/>
      <protection locked="0"/>
    </xf>
    <xf numFmtId="0" fontId="108" fillId="0" borderId="0" xfId="0" applyFont="1" applyFill="1"/>
    <xf numFmtId="0" fontId="109" fillId="0" borderId="0" xfId="0" applyFont="1" applyAlignment="1" applyProtection="1">
      <alignment horizontal="right"/>
      <protection locked="0"/>
    </xf>
    <xf numFmtId="207" fontId="109" fillId="0" borderId="0" xfId="0" applyNumberFormat="1" applyFont="1" applyFill="1" applyAlignment="1" applyProtection="1">
      <alignment horizontal="center"/>
      <protection locked="0"/>
    </xf>
    <xf numFmtId="0" fontId="109" fillId="11" borderId="0" xfId="0" applyFont="1" applyFill="1" applyAlignment="1" applyProtection="1">
      <alignment horizontal="center"/>
      <protection locked="0"/>
    </xf>
    <xf numFmtId="200" fontId="109" fillId="0" borderId="1" xfId="0" applyNumberFormat="1" applyFont="1" applyBorder="1" applyAlignment="1" applyProtection="1">
      <alignment horizontal="right"/>
      <protection locked="0"/>
    </xf>
    <xf numFmtId="0" fontId="109" fillId="0" borderId="1" xfId="0" applyFont="1" applyBorder="1" applyAlignment="1" applyProtection="1">
      <alignment horizontal="centerContinuous" vertical="center"/>
      <protection locked="0"/>
    </xf>
    <xf numFmtId="0" fontId="109" fillId="0" borderId="16" xfId="0" applyFont="1" applyBorder="1" applyAlignment="1" applyProtection="1">
      <alignment horizontal="centerContinuous" vertical="center"/>
      <protection locked="0"/>
    </xf>
    <xf numFmtId="0" fontId="109" fillId="0" borderId="6" xfId="0" applyFont="1" applyBorder="1" applyAlignment="1" applyProtection="1">
      <alignment horizontal="centerContinuous" vertical="center"/>
      <protection locked="0"/>
    </xf>
    <xf numFmtId="0" fontId="109" fillId="0" borderId="6" xfId="0" applyFont="1" applyBorder="1" applyAlignment="1" applyProtection="1">
      <alignment horizontal="center" vertical="center"/>
      <protection locked="0"/>
    </xf>
    <xf numFmtId="0" fontId="109" fillId="0" borderId="7" xfId="0" applyFont="1" applyBorder="1" applyAlignment="1" applyProtection="1">
      <alignment horizontal="centerContinuous" vertical="center"/>
      <protection locked="0"/>
    </xf>
    <xf numFmtId="0" fontId="109" fillId="0" borderId="12" xfId="0" applyFont="1" applyBorder="1" applyAlignment="1" applyProtection="1">
      <alignment horizontal="centerContinuous"/>
      <protection locked="0"/>
    </xf>
    <xf numFmtId="0" fontId="109" fillId="0" borderId="0" xfId="0" applyFont="1" applyBorder="1" applyAlignment="1" applyProtection="1">
      <alignment horizontal="left"/>
      <protection locked="0"/>
    </xf>
    <xf numFmtId="0" fontId="109" fillId="0" borderId="0" xfId="0" applyFont="1" applyBorder="1" applyProtection="1">
      <protection locked="0"/>
    </xf>
    <xf numFmtId="200" fontId="109" fillId="0" borderId="3" xfId="0" applyNumberFormat="1" applyFont="1" applyBorder="1" applyAlignment="1" applyProtection="1">
      <alignment horizontal="right"/>
      <protection locked="0"/>
    </xf>
    <xf numFmtId="205" fontId="109" fillId="0" borderId="3" xfId="0" applyNumberFormat="1" applyFont="1" applyBorder="1" applyAlignment="1" applyProtection="1">
      <alignment horizontal="center"/>
      <protection locked="0"/>
    </xf>
    <xf numFmtId="3" fontId="109" fillId="0" borderId="4" xfId="0" applyNumberFormat="1" applyFont="1" applyFill="1" applyBorder="1" applyAlignment="1" applyProtection="1">
      <alignment horizontal="left"/>
      <protection locked="0"/>
    </xf>
    <xf numFmtId="3" fontId="109" fillId="0" borderId="11" xfId="0" applyNumberFormat="1" applyFont="1" applyFill="1" applyBorder="1" applyAlignment="1" applyProtection="1">
      <alignment horizontal="center"/>
      <protection locked="0"/>
    </xf>
    <xf numFmtId="200" fontId="109" fillId="0" borderId="12" xfId="0" applyNumberFormat="1" applyFont="1" applyBorder="1" applyAlignment="1" applyProtection="1">
      <alignment horizontal="right"/>
      <protection locked="0"/>
    </xf>
    <xf numFmtId="205" fontId="109" fillId="0" borderId="12" xfId="0" applyNumberFormat="1" applyFont="1" applyBorder="1" applyAlignment="1" applyProtection="1">
      <alignment horizontal="center"/>
      <protection locked="0"/>
    </xf>
    <xf numFmtId="3" fontId="109" fillId="0" borderId="14" xfId="0" applyNumberFormat="1" applyFont="1" applyBorder="1" applyAlignment="1" applyProtection="1">
      <protection locked="0"/>
    </xf>
    <xf numFmtId="9" fontId="109" fillId="0" borderId="13" xfId="0" applyNumberFormat="1" applyFont="1" applyBorder="1" applyAlignment="1" applyProtection="1">
      <alignment horizontal="center"/>
      <protection locked="0"/>
    </xf>
    <xf numFmtId="0" fontId="109" fillId="0" borderId="12" xfId="0" applyFont="1" applyBorder="1" applyAlignment="1" applyProtection="1">
      <alignment horizontal="center"/>
      <protection locked="0"/>
    </xf>
    <xf numFmtId="0" fontId="109" fillId="0" borderId="12" xfId="0" applyFont="1" applyBorder="1" applyAlignment="1" applyProtection="1">
      <protection locked="0"/>
    </xf>
    <xf numFmtId="3" fontId="109" fillId="0" borderId="12" xfId="0" applyNumberFormat="1" applyFont="1" applyBorder="1" applyAlignment="1" applyProtection="1">
      <alignment horizontal="center"/>
      <protection locked="0"/>
    </xf>
    <xf numFmtId="4" fontId="109" fillId="0" borderId="12" xfId="0" applyNumberFormat="1" applyFont="1" applyBorder="1" applyAlignment="1" applyProtection="1">
      <alignment horizontal="center"/>
      <protection locked="0"/>
    </xf>
    <xf numFmtId="9" fontId="109" fillId="0" borderId="13" xfId="0" quotePrefix="1" applyNumberFormat="1" applyFont="1" applyBorder="1" applyAlignment="1" applyProtection="1">
      <alignment horizontal="center"/>
      <protection locked="0"/>
    </xf>
    <xf numFmtId="0" fontId="109" fillId="0" borderId="3" xfId="0" applyFont="1" applyBorder="1" applyAlignment="1" applyProtection="1">
      <alignment horizontal="centerContinuous"/>
      <protection locked="0"/>
    </xf>
    <xf numFmtId="0" fontId="109" fillId="0" borderId="5" xfId="0" applyFont="1" applyBorder="1" applyAlignment="1" applyProtection="1">
      <alignment horizontal="centerContinuous"/>
      <protection locked="0"/>
    </xf>
    <xf numFmtId="3" fontId="109" fillId="0" borderId="5" xfId="0" applyNumberFormat="1" applyFont="1" applyBorder="1" applyAlignment="1" applyProtection="1">
      <alignment horizontal="centerContinuous"/>
      <protection locked="0"/>
    </xf>
    <xf numFmtId="3" fontId="109" fillId="0" borderId="11" xfId="0" applyNumberFormat="1" applyFont="1" applyBorder="1" applyAlignment="1" applyProtection="1">
      <alignment horizontal="centerContinuous"/>
      <protection locked="0"/>
    </xf>
    <xf numFmtId="3" fontId="109" fillId="0" borderId="4" xfId="0" applyNumberFormat="1" applyFont="1" applyBorder="1" applyAlignment="1" applyProtection="1">
      <alignment horizontal="center"/>
      <protection locked="0"/>
    </xf>
    <xf numFmtId="3" fontId="109" fillId="0" borderId="11" xfId="0" applyNumberFormat="1" applyFont="1" applyBorder="1" applyAlignment="1" applyProtection="1">
      <alignment horizontal="center"/>
      <protection locked="0"/>
    </xf>
    <xf numFmtId="0" fontId="109" fillId="0" borderId="0" xfId="0" applyFont="1" applyBorder="1" applyAlignment="1" applyProtection="1">
      <alignment horizontal="centerContinuous"/>
      <protection locked="0"/>
    </xf>
    <xf numFmtId="0" fontId="109" fillId="0" borderId="13" xfId="0" applyFont="1" applyBorder="1" applyAlignment="1" applyProtection="1">
      <alignment horizontal="centerContinuous"/>
      <protection locked="0"/>
    </xf>
    <xf numFmtId="200" fontId="109" fillId="0" borderId="37" xfId="13" applyNumberFormat="1" applyFont="1" applyBorder="1" applyAlignment="1" applyProtection="1">
      <alignment horizontal="right" vertical="center"/>
      <protection locked="0"/>
    </xf>
    <xf numFmtId="3" fontId="109" fillId="0" borderId="14" xfId="0" applyNumberFormat="1" applyFont="1" applyBorder="1" applyAlignment="1" applyProtection="1">
      <alignment horizontal="center"/>
      <protection locked="0"/>
    </xf>
    <xf numFmtId="3" fontId="109" fillId="0" borderId="13" xfId="0" applyNumberFormat="1" applyFont="1" applyBorder="1" applyAlignment="1" applyProtection="1">
      <alignment horizontal="center"/>
      <protection locked="0"/>
    </xf>
    <xf numFmtId="0" fontId="109" fillId="0" borderId="8" xfId="0" applyFont="1" applyBorder="1" applyAlignment="1" applyProtection="1">
      <alignment horizontal="centerContinuous" vertical="center"/>
      <protection locked="0"/>
    </xf>
    <xf numFmtId="0" fontId="109" fillId="0" borderId="9" xfId="0" applyFont="1" applyBorder="1" applyAlignment="1" applyProtection="1">
      <alignment vertical="center"/>
      <protection locked="0"/>
    </xf>
    <xf numFmtId="0" fontId="110" fillId="0" borderId="10" xfId="13" applyFont="1" applyBorder="1" applyAlignment="1" applyProtection="1">
      <alignment horizontal="left" vertical="center"/>
      <protection locked="0"/>
    </xf>
    <xf numFmtId="0" fontId="109" fillId="0" borderId="10" xfId="0" applyFont="1" applyBorder="1" applyAlignment="1" applyProtection="1">
      <alignment horizontal="centerContinuous" vertical="center"/>
      <protection locked="0"/>
    </xf>
    <xf numFmtId="3" fontId="109" fillId="0" borderId="10" xfId="0" applyNumberFormat="1" applyFont="1" applyBorder="1" applyAlignment="1" applyProtection="1">
      <alignment horizontal="center" vertical="center"/>
      <protection locked="0"/>
    </xf>
    <xf numFmtId="3" fontId="109" fillId="0" borderId="15" xfId="0" applyNumberFormat="1" applyFont="1" applyBorder="1" applyAlignment="1" applyProtection="1">
      <alignment horizontal="center" vertical="center"/>
      <protection locked="0"/>
    </xf>
    <xf numFmtId="3" fontId="109" fillId="0" borderId="0" xfId="0" applyNumberFormat="1" applyFont="1" applyBorder="1" applyAlignment="1" applyProtection="1">
      <alignment horizontal="center" vertical="center"/>
      <protection locked="0"/>
    </xf>
    <xf numFmtId="0" fontId="109" fillId="0" borderId="0" xfId="0" applyFont="1" applyFill="1" applyProtection="1">
      <protection locked="0"/>
    </xf>
    <xf numFmtId="188" fontId="109" fillId="10" borderId="0" xfId="0" applyNumberFormat="1" applyFont="1" applyFill="1" applyAlignment="1" applyProtection="1">
      <alignment horizontal="center"/>
      <protection locked="0"/>
    </xf>
    <xf numFmtId="4" fontId="109" fillId="0" borderId="0" xfId="13" applyNumberFormat="1" applyFont="1" applyBorder="1" applyAlignment="1" applyProtection="1">
      <alignment horizontal="center" vertical="center"/>
      <protection locked="0"/>
    </xf>
    <xf numFmtId="0" fontId="109" fillId="0" borderId="0" xfId="0" applyFont="1" applyFill="1" applyAlignment="1" applyProtection="1">
      <alignment horizontal="left" vertical="center"/>
      <protection locked="0"/>
    </xf>
    <xf numFmtId="0" fontId="109" fillId="0" borderId="0" xfId="0" applyFont="1" applyFill="1" applyAlignment="1" applyProtection="1">
      <alignment vertical="center"/>
      <protection locked="0"/>
    </xf>
    <xf numFmtId="0" fontId="109" fillId="0" borderId="0" xfId="0" quotePrefix="1" applyFont="1" applyAlignment="1" applyProtection="1">
      <alignment horizontal="left" vertical="center"/>
      <protection locked="0"/>
    </xf>
    <xf numFmtId="0" fontId="109" fillId="0" borderId="0" xfId="0" applyFont="1" applyAlignment="1" applyProtection="1">
      <alignment horizontal="left" vertical="center"/>
      <protection locked="0"/>
    </xf>
    <xf numFmtId="0" fontId="109" fillId="0" borderId="0" xfId="0" applyFont="1" applyAlignment="1" applyProtection="1">
      <alignment horizontal="right" vertical="center"/>
      <protection locked="0"/>
    </xf>
    <xf numFmtId="0" fontId="109" fillId="0" borderId="0" xfId="0" applyFont="1" applyAlignment="1" applyProtection="1">
      <alignment vertical="center"/>
      <protection locked="0"/>
    </xf>
    <xf numFmtId="0" fontId="109" fillId="0" borderId="0" xfId="0" quotePrefix="1" applyFont="1" applyAlignment="1" applyProtection="1">
      <alignment horizontal="center" vertical="center"/>
      <protection locked="0"/>
    </xf>
    <xf numFmtId="0" fontId="108" fillId="0" borderId="0" xfId="0" applyFont="1" applyAlignment="1">
      <alignment vertical="center"/>
    </xf>
    <xf numFmtId="0" fontId="111" fillId="0" borderId="0" xfId="0" applyFont="1" applyAlignment="1">
      <alignment vertical="center"/>
    </xf>
    <xf numFmtId="0" fontId="112" fillId="0" borderId="0" xfId="0" applyFont="1" applyAlignment="1">
      <alignment horizontal="center" vertical="center"/>
    </xf>
    <xf numFmtId="0" fontId="114" fillId="0" borderId="0" xfId="0" applyFont="1" applyAlignment="1">
      <alignment horizontal="center" vertical="center"/>
    </xf>
    <xf numFmtId="0" fontId="111" fillId="0" borderId="70" xfId="0" applyFont="1" applyBorder="1" applyAlignment="1">
      <alignment vertical="center"/>
    </xf>
    <xf numFmtId="0" fontId="111" fillId="0" borderId="70" xfId="0" applyFont="1" applyBorder="1" applyAlignment="1">
      <alignment horizontal="right" vertical="center"/>
    </xf>
    <xf numFmtId="0" fontId="111" fillId="0" borderId="71" xfId="0" applyFont="1" applyBorder="1" applyAlignment="1">
      <alignment vertical="center"/>
    </xf>
    <xf numFmtId="0" fontId="111" fillId="0" borderId="71" xfId="0" applyFont="1" applyBorder="1" applyAlignment="1">
      <alignment horizontal="right" vertical="center"/>
    </xf>
    <xf numFmtId="0" fontId="110" fillId="0" borderId="0" xfId="0" applyFont="1"/>
    <xf numFmtId="0" fontId="110" fillId="0" borderId="0" xfId="0" applyFont="1" applyAlignment="1">
      <alignment horizontal="center"/>
    </xf>
    <xf numFmtId="0" fontId="109" fillId="0" borderId="0" xfId="0" applyFont="1"/>
    <xf numFmtId="4" fontId="108" fillId="0" borderId="0" xfId="0" applyNumberFormat="1" applyFont="1"/>
    <xf numFmtId="195" fontId="108" fillId="0" borderId="0" xfId="0" applyNumberFormat="1" applyFont="1"/>
    <xf numFmtId="190" fontId="109" fillId="0" borderId="0" xfId="2" applyNumberFormat="1" applyFont="1" applyFill="1" applyAlignment="1">
      <alignment horizontal="right"/>
    </xf>
    <xf numFmtId="202" fontId="108" fillId="0" borderId="10" xfId="0" applyNumberFormat="1" applyFont="1" applyBorder="1" applyAlignment="1">
      <alignment horizontal="center"/>
    </xf>
    <xf numFmtId="4" fontId="108" fillId="0" borderId="0" xfId="0" applyNumberFormat="1" applyFont="1" applyFill="1"/>
    <xf numFmtId="200" fontId="108" fillId="0" borderId="10" xfId="0" applyNumberFormat="1" applyFont="1" applyBorder="1" applyAlignment="1">
      <alignment horizontal="center"/>
    </xf>
    <xf numFmtId="188" fontId="109" fillId="0" borderId="0" xfId="0" applyNumberFormat="1" applyFont="1" applyAlignment="1">
      <alignment horizontal="center"/>
    </xf>
    <xf numFmtId="0" fontId="109" fillId="0" borderId="0" xfId="0" applyFont="1" applyAlignment="1">
      <alignment horizontal="left"/>
    </xf>
    <xf numFmtId="0" fontId="108" fillId="0" borderId="10" xfId="0" applyFont="1" applyBorder="1" applyAlignment="1">
      <alignment horizontal="center"/>
    </xf>
    <xf numFmtId="0" fontId="109" fillId="0" borderId="0" xfId="0" applyNumberFormat="1" applyFont="1" applyAlignment="1"/>
    <xf numFmtId="200" fontId="109" fillId="11" borderId="0" xfId="0" applyNumberFormat="1" applyFont="1" applyFill="1" applyAlignment="1">
      <alignment horizontal="left"/>
    </xf>
    <xf numFmtId="0" fontId="109" fillId="0" borderId="0" xfId="0" applyFont="1" applyAlignment="1">
      <alignment horizontal="right"/>
    </xf>
    <xf numFmtId="200" fontId="109" fillId="11" borderId="0" xfId="0" applyNumberFormat="1" applyFont="1" applyFill="1" applyAlignment="1">
      <alignment horizontal="right"/>
    </xf>
    <xf numFmtId="4" fontId="109" fillId="0" borderId="0" xfId="0" applyNumberFormat="1" applyFont="1" applyAlignment="1">
      <alignment horizontal="left"/>
    </xf>
    <xf numFmtId="0" fontId="109" fillId="0" borderId="0" xfId="0" applyNumberFormat="1" applyFont="1" applyAlignment="1">
      <alignment horizontal="left"/>
    </xf>
    <xf numFmtId="4" fontId="108" fillId="0" borderId="0" xfId="0" applyNumberFormat="1" applyFont="1" applyFill="1" applyAlignment="1">
      <alignment horizontal="right"/>
    </xf>
    <xf numFmtId="0" fontId="109" fillId="0" borderId="0" xfId="0" applyNumberFormat="1" applyFont="1"/>
    <xf numFmtId="188" fontId="109" fillId="0" borderId="0" xfId="0" applyNumberFormat="1" applyFont="1" applyAlignment="1">
      <alignment horizontal="left"/>
    </xf>
    <xf numFmtId="0" fontId="109" fillId="0" borderId="0" xfId="0" applyFont="1" applyFill="1" applyAlignment="1">
      <alignment horizontal="left"/>
    </xf>
    <xf numFmtId="2" fontId="109" fillId="0" borderId="0" xfId="0" applyNumberFormat="1" applyFont="1" applyAlignment="1">
      <alignment horizontal="center"/>
    </xf>
    <xf numFmtId="43" fontId="110" fillId="0" borderId="66" xfId="0" applyNumberFormat="1" applyFont="1" applyFill="1" applyBorder="1" applyAlignment="1">
      <alignment horizontal="center" vertical="center"/>
    </xf>
    <xf numFmtId="195" fontId="110" fillId="0" borderId="66" xfId="1" applyNumberFormat="1" applyFont="1" applyFill="1" applyBorder="1" applyAlignment="1">
      <alignment horizontal="center" vertical="center"/>
    </xf>
    <xf numFmtId="190" fontId="109" fillId="0" borderId="0" xfId="2" applyNumberFormat="1" applyFont="1" applyFill="1"/>
    <xf numFmtId="4" fontId="108" fillId="0" borderId="0" xfId="0" applyNumberFormat="1" applyFont="1" applyFill="1" applyAlignment="1">
      <alignment horizontal="center"/>
    </xf>
    <xf numFmtId="4" fontId="110" fillId="0" borderId="1" xfId="1" applyNumberFormat="1" applyFont="1" applyFill="1" applyBorder="1" applyAlignment="1">
      <alignment horizontal="center" vertical="center"/>
    </xf>
    <xf numFmtId="195" fontId="110" fillId="0" borderId="8" xfId="0" applyNumberFormat="1" applyFont="1" applyFill="1" applyBorder="1" applyAlignment="1">
      <alignment horizontal="center" vertical="center"/>
    </xf>
    <xf numFmtId="43" fontId="110" fillId="0" borderId="1" xfId="1" applyNumberFormat="1" applyFont="1" applyFill="1" applyBorder="1" applyAlignment="1">
      <alignment horizontal="center" vertical="center"/>
    </xf>
    <xf numFmtId="0" fontId="110" fillId="0" borderId="3" xfId="0" applyFont="1" applyFill="1" applyBorder="1" applyAlignment="1">
      <alignment horizontal="center" vertical="center" wrapText="1"/>
    </xf>
    <xf numFmtId="43" fontId="110" fillId="0" borderId="4" xfId="0" applyNumberFormat="1" applyFont="1" applyFill="1" applyBorder="1" applyAlignment="1">
      <alignment vertical="center"/>
    </xf>
    <xf numFmtId="43" fontId="117" fillId="0" borderId="5" xfId="0" applyNumberFormat="1" applyFont="1" applyFill="1" applyBorder="1" applyAlignment="1">
      <alignment vertical="center"/>
    </xf>
    <xf numFmtId="43" fontId="117" fillId="0" borderId="11" xfId="0" applyNumberFormat="1" applyFont="1" applyFill="1" applyBorder="1" applyAlignment="1">
      <alignment vertical="center"/>
    </xf>
    <xf numFmtId="43" fontId="110" fillId="0" borderId="3" xfId="0" applyNumberFormat="1" applyFont="1" applyFill="1" applyBorder="1" applyAlignment="1">
      <alignment horizontal="center" vertical="center"/>
    </xf>
    <xf numFmtId="3" fontId="110" fillId="0" borderId="11" xfId="0" applyNumberFormat="1" applyFont="1" applyFill="1" applyBorder="1" applyAlignment="1">
      <alignment horizontal="center" vertical="center"/>
    </xf>
    <xf numFmtId="4" fontId="110" fillId="0" borderId="3" xfId="1" applyNumberFormat="1" applyFont="1" applyFill="1" applyBorder="1" applyAlignment="1">
      <alignment horizontal="centerContinuous"/>
    </xf>
    <xf numFmtId="4" fontId="110" fillId="0" borderId="3" xfId="1" applyNumberFormat="1" applyFont="1" applyFill="1" applyBorder="1" applyAlignment="1">
      <alignment horizontal="center"/>
    </xf>
    <xf numFmtId="195" fontId="109" fillId="0" borderId="3" xfId="2" applyNumberFormat="1" applyFont="1" applyFill="1" applyBorder="1"/>
    <xf numFmtId="190" fontId="109" fillId="0" borderId="3" xfId="2" applyNumberFormat="1" applyFont="1" applyFill="1" applyBorder="1"/>
    <xf numFmtId="190" fontId="109" fillId="0" borderId="12" xfId="2" applyNumberFormat="1" applyFont="1" applyFill="1" applyBorder="1"/>
    <xf numFmtId="190" fontId="109" fillId="0" borderId="0" xfId="2" applyNumberFormat="1" applyFont="1" applyFill="1" applyAlignment="1">
      <alignment horizontal="center"/>
    </xf>
    <xf numFmtId="0" fontId="109" fillId="0" borderId="12" xfId="0" applyFont="1" applyBorder="1" applyAlignment="1">
      <alignment horizontal="center"/>
    </xf>
    <xf numFmtId="0" fontId="109" fillId="0" borderId="14" xfId="0" applyFont="1" applyBorder="1"/>
    <xf numFmtId="0" fontId="109" fillId="0" borderId="0" xfId="0" applyFont="1" applyBorder="1"/>
    <xf numFmtId="0" fontId="109" fillId="0" borderId="13" xfId="0" applyFont="1" applyBorder="1"/>
    <xf numFmtId="4" fontId="109" fillId="0" borderId="12" xfId="0" applyNumberFormat="1" applyFont="1" applyBorder="1" applyAlignment="1">
      <alignment horizontal="center"/>
    </xf>
    <xf numFmtId="4" fontId="109" fillId="0" borderId="12" xfId="0" applyNumberFormat="1" applyFont="1" applyBorder="1"/>
    <xf numFmtId="195" fontId="109" fillId="0" borderId="12" xfId="0" applyNumberFormat="1" applyFont="1" applyBorder="1"/>
    <xf numFmtId="0" fontId="109" fillId="0" borderId="12" xfId="0" applyFont="1" applyBorder="1"/>
    <xf numFmtId="193" fontId="109" fillId="0" borderId="0" xfId="0" applyNumberFormat="1" applyFont="1" applyFill="1" applyBorder="1" applyAlignment="1">
      <alignment horizontal="center" vertical="center"/>
    </xf>
    <xf numFmtId="0" fontId="109" fillId="0" borderId="0" xfId="0" applyNumberFormat="1" applyFont="1" applyFill="1" applyBorder="1" applyAlignment="1">
      <alignment vertical="center"/>
    </xf>
    <xf numFmtId="43" fontId="109" fillId="0" borderId="12" xfId="0" applyNumberFormat="1" applyFont="1" applyFill="1" applyBorder="1" applyAlignment="1">
      <alignment horizontal="center" vertical="center"/>
    </xf>
    <xf numFmtId="200" fontId="109" fillId="0" borderId="12" xfId="0" applyNumberFormat="1" applyFont="1" applyBorder="1" applyAlignment="1">
      <alignment horizontal="right"/>
    </xf>
    <xf numFmtId="198" fontId="109" fillId="0" borderId="13" xfId="1" applyNumberFormat="1" applyFont="1" applyBorder="1" applyAlignment="1">
      <alignment horizontal="right"/>
    </xf>
    <xf numFmtId="200" fontId="108" fillId="0" borderId="0" xfId="0" applyNumberFormat="1" applyFont="1" applyAlignment="1">
      <alignment horizontal="center"/>
    </xf>
    <xf numFmtId="200" fontId="118" fillId="0" borderId="0" xfId="0" applyNumberFormat="1" applyFont="1" applyAlignment="1">
      <alignment horizontal="center"/>
    </xf>
    <xf numFmtId="43" fontId="117" fillId="0" borderId="0" xfId="0" applyNumberFormat="1" applyFont="1" applyFill="1" applyBorder="1" applyAlignment="1">
      <alignment vertical="center"/>
    </xf>
    <xf numFmtId="43" fontId="109" fillId="0" borderId="0" xfId="0" applyNumberFormat="1" applyFont="1" applyFill="1" applyBorder="1" applyAlignment="1">
      <alignment vertical="center"/>
    </xf>
    <xf numFmtId="43" fontId="109" fillId="0" borderId="13" xfId="0" applyNumberFormat="1" applyFont="1" applyFill="1" applyBorder="1" applyAlignment="1">
      <alignment vertical="center"/>
    </xf>
    <xf numFmtId="43" fontId="119" fillId="0" borderId="0" xfId="0" applyNumberFormat="1" applyFont="1" applyFill="1" applyBorder="1" applyAlignment="1">
      <alignment vertical="center"/>
    </xf>
    <xf numFmtId="43" fontId="119" fillId="0" borderId="13" xfId="0" applyNumberFormat="1" applyFont="1" applyFill="1" applyBorder="1" applyAlignment="1">
      <alignment vertical="center"/>
    </xf>
    <xf numFmtId="2" fontId="109" fillId="0" borderId="14" xfId="0" applyNumberFormat="1" applyFont="1" applyBorder="1" applyAlignment="1">
      <alignment horizontal="center"/>
    </xf>
    <xf numFmtId="0" fontId="109" fillId="0" borderId="0" xfId="0" applyFont="1" applyBorder="1" applyAlignment="1">
      <alignment horizontal="right"/>
    </xf>
    <xf numFmtId="0" fontId="118" fillId="0" borderId="0" xfId="0" applyFont="1" applyFill="1"/>
    <xf numFmtId="0" fontId="109" fillId="0" borderId="0" xfId="0" applyFont="1" applyFill="1" applyBorder="1"/>
    <xf numFmtId="0" fontId="109" fillId="0" borderId="13" xfId="0" applyFont="1" applyFill="1" applyBorder="1"/>
    <xf numFmtId="0" fontId="109" fillId="0" borderId="14" xfId="0" applyFont="1" applyBorder="1" applyAlignment="1">
      <alignment horizontal="center"/>
    </xf>
    <xf numFmtId="0" fontId="109" fillId="0" borderId="12" xfId="0" applyFont="1" applyFill="1" applyBorder="1" applyAlignment="1">
      <alignment horizontal="center"/>
    </xf>
    <xf numFmtId="0" fontId="109" fillId="0" borderId="14" xfId="0" applyFont="1" applyFill="1" applyBorder="1"/>
    <xf numFmtId="4" fontId="109" fillId="0" borderId="12" xfId="0" applyNumberFormat="1" applyFont="1" applyFill="1" applyBorder="1" applyAlignment="1">
      <alignment horizontal="center"/>
    </xf>
    <xf numFmtId="4" fontId="109" fillId="0" borderId="12" xfId="0" applyNumberFormat="1" applyFont="1" applyFill="1" applyBorder="1"/>
    <xf numFmtId="4" fontId="109" fillId="0" borderId="12" xfId="0" applyNumberFormat="1" applyFont="1" applyBorder="1" applyProtection="1">
      <protection locked="0"/>
    </xf>
    <xf numFmtId="0" fontId="109" fillId="0" borderId="0" xfId="0" applyFont="1" applyFill="1" applyAlignment="1">
      <alignment horizontal="center"/>
    </xf>
    <xf numFmtId="0" fontId="109" fillId="0" borderId="14" xfId="0" applyFont="1" applyFill="1" applyBorder="1" applyAlignment="1">
      <alignment horizontal="center"/>
    </xf>
    <xf numFmtId="0" fontId="108" fillId="0" borderId="0" xfId="0" applyFont="1" applyFill="1" applyAlignment="1">
      <alignment horizontal="center"/>
    </xf>
    <xf numFmtId="0" fontId="109" fillId="0" borderId="0" xfId="106" applyFont="1" applyFill="1" applyBorder="1"/>
    <xf numFmtId="0" fontId="109" fillId="0" borderId="0" xfId="0" applyFont="1" applyFill="1" applyBorder="1" applyAlignment="1">
      <alignment horizontal="right"/>
    </xf>
    <xf numFmtId="0" fontId="109" fillId="11" borderId="0" xfId="0" applyFont="1" applyFill="1" applyBorder="1" applyAlignment="1">
      <alignment horizontal="center"/>
    </xf>
    <xf numFmtId="0" fontId="109" fillId="0" borderId="0" xfId="0" applyFont="1" applyFill="1"/>
    <xf numFmtId="4" fontId="109" fillId="0" borderId="0" xfId="0" applyNumberFormat="1" applyFont="1" applyFill="1" applyAlignment="1">
      <alignment horizontal="center"/>
    </xf>
    <xf numFmtId="1" fontId="109" fillId="11" borderId="0" xfId="0" applyNumberFormat="1" applyFont="1" applyFill="1" applyBorder="1" applyAlignment="1">
      <alignment horizontal="center"/>
    </xf>
    <xf numFmtId="0" fontId="109" fillId="0" borderId="0" xfId="0" applyFont="1" applyFill="1" applyBorder="1" applyAlignment="1">
      <alignment horizontal="center"/>
    </xf>
    <xf numFmtId="0" fontId="109" fillId="3" borderId="12" xfId="0" applyFont="1" applyFill="1" applyBorder="1" applyAlignment="1">
      <alignment horizontal="center"/>
    </xf>
    <xf numFmtId="0" fontId="109" fillId="3" borderId="0" xfId="0" applyFont="1" applyFill="1" applyBorder="1" applyAlignment="1">
      <alignment horizontal="center"/>
    </xf>
    <xf numFmtId="0" fontId="109" fillId="3" borderId="0" xfId="0" applyFont="1" applyFill="1" applyBorder="1"/>
    <xf numFmtId="0" fontId="109" fillId="3" borderId="13" xfId="0" applyFont="1" applyFill="1" applyBorder="1"/>
    <xf numFmtId="200" fontId="109" fillId="3" borderId="12" xfId="0" applyNumberFormat="1" applyFont="1" applyFill="1" applyBorder="1" applyAlignment="1">
      <alignment horizontal="right"/>
    </xf>
    <xf numFmtId="198" fontId="109" fillId="3" borderId="13" xfId="1" applyNumberFormat="1" applyFont="1" applyFill="1" applyBorder="1" applyAlignment="1">
      <alignment horizontal="right"/>
    </xf>
    <xf numFmtId="0" fontId="109" fillId="3" borderId="0" xfId="0" applyFont="1" applyFill="1"/>
    <xf numFmtId="0" fontId="109" fillId="3" borderId="0" xfId="0" applyFont="1" applyFill="1" applyAlignment="1">
      <alignment horizontal="center"/>
    </xf>
    <xf numFmtId="4" fontId="109" fillId="3" borderId="0" xfId="0" applyNumberFormat="1" applyFont="1" applyFill="1" applyAlignment="1">
      <alignment horizontal="center"/>
    </xf>
    <xf numFmtId="0" fontId="108" fillId="3" borderId="0" xfId="0" applyFont="1" applyFill="1" applyAlignment="1">
      <alignment horizontal="center"/>
    </xf>
    <xf numFmtId="0" fontId="108" fillId="3" borderId="0" xfId="0" applyFont="1" applyFill="1"/>
    <xf numFmtId="0" fontId="109" fillId="0" borderId="0" xfId="0" applyFont="1" applyFill="1" applyBorder="1" applyAlignment="1">
      <alignment horizontal="left"/>
    </xf>
    <xf numFmtId="10" fontId="108" fillId="0" borderId="0" xfId="183" applyNumberFormat="1" applyFont="1"/>
    <xf numFmtId="0" fontId="108" fillId="0" borderId="66" xfId="0" applyFont="1" applyBorder="1" applyAlignment="1">
      <alignment horizontal="center"/>
    </xf>
    <xf numFmtId="200" fontId="108" fillId="0" borderId="82" xfId="0" applyNumberFormat="1" applyFont="1" applyBorder="1" applyAlignment="1">
      <alignment horizontal="center"/>
    </xf>
    <xf numFmtId="200" fontId="109" fillId="0" borderId="12" xfId="0" applyNumberFormat="1" applyFont="1" applyFill="1" applyBorder="1" applyAlignment="1">
      <alignment horizontal="right"/>
    </xf>
    <xf numFmtId="198" fontId="109" fillId="0" borderId="13" xfId="1" applyNumberFormat="1" applyFont="1" applyFill="1" applyBorder="1" applyAlignment="1">
      <alignment horizontal="right"/>
    </xf>
    <xf numFmtId="0" fontId="109" fillId="0" borderId="14" xfId="0" applyFont="1" applyFill="1" applyBorder="1" applyAlignment="1">
      <alignment horizontal="left"/>
    </xf>
    <xf numFmtId="0" fontId="109" fillId="11" borderId="0" xfId="0" applyFont="1" applyFill="1" applyBorder="1"/>
    <xf numFmtId="0" fontId="109" fillId="0" borderId="0" xfId="0" applyFont="1" applyBorder="1" applyAlignment="1">
      <alignment horizontal="left"/>
    </xf>
    <xf numFmtId="0" fontId="109" fillId="0" borderId="13" xfId="0" applyFont="1" applyBorder="1" applyProtection="1">
      <protection locked="0"/>
    </xf>
    <xf numFmtId="0" fontId="120" fillId="0" borderId="0" xfId="0" applyFont="1" applyBorder="1" applyProtection="1">
      <protection locked="0"/>
    </xf>
    <xf numFmtId="0" fontId="108" fillId="0" borderId="0" xfId="0" applyFont="1" applyAlignment="1">
      <alignment horizontal="left"/>
    </xf>
    <xf numFmtId="0" fontId="109" fillId="0" borderId="66" xfId="0" applyFont="1" applyBorder="1" applyAlignment="1">
      <alignment horizontal="center"/>
    </xf>
    <xf numFmtId="0" fontId="109" fillId="0" borderId="67" xfId="0" applyFont="1" applyBorder="1"/>
    <xf numFmtId="0" fontId="110" fillId="0" borderId="68" xfId="0" applyFont="1" applyFill="1" applyBorder="1" applyAlignment="1">
      <alignment horizontal="left"/>
    </xf>
    <xf numFmtId="0" fontId="109" fillId="0" borderId="68" xfId="0" applyFont="1" applyBorder="1"/>
    <xf numFmtId="0" fontId="109" fillId="0" borderId="69" xfId="0" applyFont="1" applyBorder="1"/>
    <xf numFmtId="3" fontId="109" fillId="0" borderId="66" xfId="0" applyNumberFormat="1" applyFont="1" applyBorder="1" applyAlignment="1">
      <alignment horizontal="center"/>
    </xf>
    <xf numFmtId="4" fontId="109" fillId="0" borderId="66" xfId="0" applyNumberFormat="1" applyFont="1" applyBorder="1"/>
    <xf numFmtId="200" fontId="109" fillId="0" borderId="66" xfId="0" applyNumberFormat="1" applyFont="1" applyBorder="1" applyAlignment="1">
      <alignment horizontal="center"/>
    </xf>
    <xf numFmtId="195" fontId="109" fillId="0" borderId="66" xfId="0" applyNumberFormat="1" applyFont="1" applyBorder="1"/>
    <xf numFmtId="0" fontId="109" fillId="0" borderId="66" xfId="0" applyFont="1" applyBorder="1"/>
    <xf numFmtId="0" fontId="110" fillId="0" borderId="0" xfId="0" applyFont="1" applyFill="1" applyBorder="1" applyAlignment="1">
      <alignment horizontal="left"/>
    </xf>
    <xf numFmtId="3" fontId="109" fillId="0" borderId="12" xfId="0" applyNumberFormat="1" applyFont="1" applyBorder="1" applyAlignment="1">
      <alignment horizontal="center"/>
    </xf>
    <xf numFmtId="4" fontId="108" fillId="0" borderId="0" xfId="0" applyNumberFormat="1" applyFont="1" applyBorder="1"/>
    <xf numFmtId="205" fontId="109" fillId="0" borderId="12" xfId="0" applyNumberFormat="1" applyFont="1" applyBorder="1" applyAlignment="1">
      <alignment horizontal="center"/>
    </xf>
    <xf numFmtId="0" fontId="109" fillId="0" borderId="8" xfId="0" applyFont="1" applyBorder="1" applyAlignment="1">
      <alignment horizontal="center"/>
    </xf>
    <xf numFmtId="0" fontId="109" fillId="0" borderId="9" xfId="0" applyFont="1" applyBorder="1"/>
    <xf numFmtId="0" fontId="110" fillId="0" borderId="10" xfId="0" applyFont="1" applyFill="1" applyBorder="1" applyAlignment="1">
      <alignment horizontal="left"/>
    </xf>
    <xf numFmtId="0" fontId="109" fillId="0" borderId="10" xfId="0" applyFont="1" applyFill="1" applyBorder="1"/>
    <xf numFmtId="0" fontId="109" fillId="0" borderId="15" xfId="0" applyFont="1" applyFill="1" applyBorder="1"/>
    <xf numFmtId="3" fontId="109" fillId="0" borderId="8" xfId="0" applyNumberFormat="1" applyFont="1" applyBorder="1" applyAlignment="1">
      <alignment horizontal="center"/>
    </xf>
    <xf numFmtId="4" fontId="109" fillId="0" borderId="8" xfId="0" applyNumberFormat="1" applyFont="1" applyBorder="1"/>
    <xf numFmtId="200" fontId="109" fillId="0" borderId="8" xfId="0" applyNumberFormat="1" applyFont="1" applyBorder="1" applyAlignment="1">
      <alignment horizontal="center"/>
    </xf>
    <xf numFmtId="195" fontId="108" fillId="0" borderId="10" xfId="0" applyNumberFormat="1" applyFont="1" applyBorder="1"/>
    <xf numFmtId="0" fontId="109" fillId="0" borderId="8" xfId="0" applyFont="1" applyBorder="1"/>
    <xf numFmtId="0" fontId="109" fillId="0" borderId="0" xfId="0" applyFont="1" applyBorder="1" applyAlignment="1">
      <alignment horizontal="center" vertical="center"/>
    </xf>
    <xf numFmtId="0" fontId="109" fillId="0" borderId="0" xfId="0" applyFont="1" applyBorder="1" applyAlignment="1">
      <alignment vertical="center"/>
    </xf>
    <xf numFmtId="3" fontId="109" fillId="0" borderId="0" xfId="0" applyNumberFormat="1" applyFont="1" applyBorder="1" applyAlignment="1">
      <alignment horizontal="center" vertical="center"/>
    </xf>
    <xf numFmtId="4" fontId="109" fillId="0" borderId="0" xfId="0" applyNumberFormat="1" applyFont="1" applyBorder="1" applyAlignment="1">
      <alignment vertical="center"/>
    </xf>
    <xf numFmtId="4" fontId="109" fillId="0" borderId="0" xfId="0" applyNumberFormat="1" applyFont="1" applyBorder="1" applyAlignment="1">
      <alignment horizontal="center" vertical="center"/>
    </xf>
    <xf numFmtId="195" fontId="109" fillId="0" borderId="0" xfId="0" applyNumberFormat="1" applyFont="1" applyBorder="1" applyAlignment="1">
      <alignment vertical="center"/>
    </xf>
    <xf numFmtId="0" fontId="109" fillId="0" borderId="0" xfId="0" applyFont="1" applyAlignment="1">
      <alignment vertical="center"/>
    </xf>
    <xf numFmtId="0" fontId="108" fillId="0" borderId="0" xfId="0" applyFont="1" applyAlignment="1">
      <alignment horizontal="right" vertical="center"/>
    </xf>
    <xf numFmtId="0" fontId="108" fillId="0" borderId="0" xfId="0" applyFont="1" applyAlignment="1">
      <alignment horizontal="center" vertical="center"/>
    </xf>
    <xf numFmtId="0" fontId="108" fillId="0" borderId="0" xfId="0" applyFont="1" applyAlignment="1">
      <alignment horizontal="left" vertical="center"/>
    </xf>
    <xf numFmtId="2" fontId="110" fillId="0" borderId="0" xfId="0" applyNumberFormat="1" applyFont="1"/>
    <xf numFmtId="191" fontId="109" fillId="0" borderId="0" xfId="0" applyNumberFormat="1" applyFont="1"/>
    <xf numFmtId="0" fontId="109" fillId="0" borderId="0" xfId="0" applyFont="1" applyAlignment="1">
      <alignment horizontal="center"/>
    </xf>
    <xf numFmtId="200" fontId="109" fillId="0" borderId="0" xfId="0" applyNumberFormat="1" applyFont="1" applyAlignment="1">
      <alignment horizontal="left"/>
    </xf>
    <xf numFmtId="200" fontId="109" fillId="0" borderId="0" xfId="0" applyNumberFormat="1" applyFont="1" applyAlignment="1">
      <alignment horizontal="right"/>
    </xf>
    <xf numFmtId="2" fontId="109" fillId="0" borderId="0" xfId="2" applyNumberFormat="1" applyFont="1" applyFill="1"/>
    <xf numFmtId="43" fontId="110" fillId="0" borderId="1" xfId="1" applyNumberFormat="1" applyFont="1" applyFill="1" applyBorder="1" applyAlignment="1">
      <alignment horizontal="centerContinuous"/>
    </xf>
    <xf numFmtId="43" fontId="110" fillId="0" borderId="1" xfId="1" applyNumberFormat="1" applyFont="1" applyFill="1" applyBorder="1" applyAlignment="1">
      <alignment horizontal="center"/>
    </xf>
    <xf numFmtId="43" fontId="110" fillId="0" borderId="4" xfId="0" applyNumberFormat="1" applyFont="1" applyFill="1" applyBorder="1" applyAlignment="1">
      <alignment horizontal="left" vertical="center"/>
    </xf>
    <xf numFmtId="43" fontId="110" fillId="0" borderId="11" xfId="0" applyNumberFormat="1" applyFont="1" applyFill="1" applyBorder="1" applyAlignment="1">
      <alignment horizontal="center" vertical="center"/>
    </xf>
    <xf numFmtId="43" fontId="110" fillId="0" borderId="3" xfId="1" applyNumberFormat="1" applyFont="1" applyFill="1" applyBorder="1" applyAlignment="1">
      <alignment horizontal="centerContinuous"/>
    </xf>
    <xf numFmtId="43" fontId="110" fillId="0" borderId="3" xfId="1" applyNumberFormat="1" applyFont="1" applyFill="1" applyBorder="1" applyAlignment="1">
      <alignment horizontal="center"/>
    </xf>
    <xf numFmtId="191" fontId="109" fillId="0" borderId="3" xfId="0" applyNumberFormat="1" applyFont="1" applyBorder="1"/>
    <xf numFmtId="0" fontId="109" fillId="0" borderId="3" xfId="0" applyFont="1" applyBorder="1"/>
    <xf numFmtId="0" fontId="110" fillId="0" borderId="12" xfId="0" applyFont="1" applyBorder="1" applyAlignment="1">
      <alignment horizontal="center"/>
    </xf>
    <xf numFmtId="0" fontId="110" fillId="0" borderId="14" xfId="0" applyFont="1" applyBorder="1"/>
    <xf numFmtId="0" fontId="110" fillId="0" borderId="0" xfId="0" applyFont="1" applyBorder="1"/>
    <xf numFmtId="3" fontId="109" fillId="0" borderId="12" xfId="0" applyNumberFormat="1" applyFont="1" applyBorder="1"/>
    <xf numFmtId="191" fontId="109" fillId="0" borderId="12" xfId="0" applyNumberFormat="1" applyFont="1" applyBorder="1"/>
    <xf numFmtId="190" fontId="109" fillId="3" borderId="0" xfId="2" applyNumberFormat="1" applyFont="1" applyFill="1"/>
    <xf numFmtId="2" fontId="109" fillId="3" borderId="0" xfId="2" applyNumberFormat="1" applyFont="1" applyFill="1"/>
    <xf numFmtId="2" fontId="109" fillId="0" borderId="0" xfId="0" applyNumberFormat="1" applyFont="1"/>
    <xf numFmtId="204" fontId="109" fillId="11" borderId="0" xfId="0" applyNumberFormat="1" applyFont="1" applyFill="1" applyBorder="1" applyAlignment="1">
      <alignment horizontal="center"/>
    </xf>
    <xf numFmtId="2" fontId="109" fillId="3" borderId="0" xfId="0" applyNumberFormat="1" applyFont="1" applyFill="1"/>
    <xf numFmtId="0" fontId="109" fillId="0" borderId="14" xfId="0" applyFont="1" applyBorder="1" applyAlignment="1">
      <alignment horizontal="left"/>
    </xf>
    <xf numFmtId="3" fontId="109" fillId="0" borderId="12" xfId="0" applyNumberFormat="1" applyFont="1" applyBorder="1" applyAlignment="1">
      <alignment horizontal="right"/>
    </xf>
    <xf numFmtId="200" fontId="109" fillId="0" borderId="12" xfId="0" applyNumberFormat="1" applyFont="1" applyBorder="1" applyAlignment="1">
      <alignment horizontal="center"/>
    </xf>
    <xf numFmtId="4" fontId="109" fillId="0" borderId="12" xfId="0" applyNumberFormat="1" applyFont="1" applyBorder="1" applyAlignment="1">
      <alignment horizontal="right"/>
    </xf>
    <xf numFmtId="4" fontId="109" fillId="0" borderId="12" xfId="0" applyNumberFormat="1" applyFont="1" applyBorder="1" applyAlignment="1" applyProtection="1">
      <alignment horizontal="right"/>
      <protection locked="0"/>
    </xf>
    <xf numFmtId="0" fontId="109" fillId="0" borderId="13" xfId="0" applyFont="1" applyBorder="1" applyAlignment="1">
      <alignment horizontal="center"/>
    </xf>
    <xf numFmtId="0" fontId="120" fillId="0" borderId="0" xfId="0" applyFont="1" applyBorder="1"/>
    <xf numFmtId="0" fontId="120" fillId="0" borderId="13" xfId="0" applyFont="1" applyBorder="1"/>
    <xf numFmtId="4" fontId="109" fillId="0" borderId="0" xfId="0" applyNumberFormat="1" applyFont="1"/>
    <xf numFmtId="0" fontId="109" fillId="0" borderId="0" xfId="3" applyFont="1" applyBorder="1" applyAlignment="1"/>
    <xf numFmtId="0" fontId="109" fillId="0" borderId="13" xfId="3" applyFont="1" applyBorder="1" applyAlignment="1"/>
    <xf numFmtId="4" fontId="109" fillId="0" borderId="12" xfId="0" applyNumberFormat="1" applyFont="1" applyFill="1" applyBorder="1" applyAlignment="1">
      <alignment horizontal="right"/>
    </xf>
    <xf numFmtId="0" fontId="109" fillId="0" borderId="1" xfId="0" applyFont="1" applyBorder="1" applyAlignment="1">
      <alignment horizontal="center"/>
    </xf>
    <xf numFmtId="1" fontId="109" fillId="0" borderId="0" xfId="0" applyNumberFormat="1" applyFont="1" applyAlignment="1">
      <alignment horizontal="center"/>
    </xf>
    <xf numFmtId="0" fontId="109" fillId="0" borderId="0" xfId="0" applyNumberFormat="1" applyFont="1" applyFill="1" applyAlignment="1">
      <alignment horizontal="left"/>
    </xf>
    <xf numFmtId="10" fontId="109" fillId="0" borderId="0" xfId="183" applyNumberFormat="1" applyFont="1" applyAlignment="1">
      <alignment horizontal="center"/>
    </xf>
    <xf numFmtId="4" fontId="109" fillId="0" borderId="0" xfId="0" applyNumberFormat="1" applyFont="1" applyAlignment="1">
      <alignment horizontal="center"/>
    </xf>
    <xf numFmtId="200" fontId="109" fillId="0" borderId="0" xfId="0" applyNumberFormat="1" applyFont="1" applyAlignment="1">
      <alignment horizontal="center"/>
    </xf>
    <xf numFmtId="0" fontId="109" fillId="0" borderId="67" xfId="0" applyFont="1" applyBorder="1" applyAlignment="1">
      <alignment horizontal="left"/>
    </xf>
    <xf numFmtId="0" fontId="110" fillId="0" borderId="68" xfId="0" quotePrefix="1" applyFont="1" applyFill="1" applyBorder="1" applyAlignment="1">
      <alignment horizontal="left"/>
    </xf>
    <xf numFmtId="3" fontId="109" fillId="0" borderId="66" xfId="0" applyNumberFormat="1" applyFont="1" applyBorder="1" applyAlignment="1">
      <alignment horizontal="right"/>
    </xf>
    <xf numFmtId="200" fontId="109" fillId="0" borderId="66" xfId="0" applyNumberFormat="1" applyFont="1" applyBorder="1" applyAlignment="1">
      <alignment horizontal="right"/>
    </xf>
    <xf numFmtId="191" fontId="109" fillId="0" borderId="66" xfId="0" applyNumberFormat="1" applyFont="1" applyBorder="1"/>
    <xf numFmtId="4" fontId="109" fillId="0" borderId="66" xfId="0" applyNumberFormat="1" applyFont="1" applyBorder="1" applyAlignment="1">
      <alignment horizontal="right"/>
    </xf>
    <xf numFmtId="0" fontId="109" fillId="0" borderId="66" xfId="0" applyFont="1" applyBorder="1" applyAlignment="1">
      <alignment horizontal="right"/>
    </xf>
    <xf numFmtId="0" fontId="109" fillId="0" borderId="12" xfId="0" applyFont="1" applyBorder="1" applyAlignment="1">
      <alignment horizontal="right"/>
    </xf>
    <xf numFmtId="0" fontId="109" fillId="0" borderId="9" xfId="0" applyFont="1" applyBorder="1" applyAlignment="1">
      <alignment horizontal="left"/>
    </xf>
    <xf numFmtId="0" fontId="109" fillId="0" borderId="10" xfId="0" applyFont="1" applyBorder="1"/>
    <xf numFmtId="0" fontId="109" fillId="0" borderId="15" xfId="0" applyFont="1" applyBorder="1"/>
    <xf numFmtId="3" fontId="109" fillId="0" borderId="8" xfId="0" applyNumberFormat="1" applyFont="1" applyBorder="1" applyAlignment="1">
      <alignment horizontal="right"/>
    </xf>
    <xf numFmtId="200" fontId="109" fillId="0" borderId="8" xfId="0" applyNumberFormat="1" applyFont="1" applyBorder="1" applyAlignment="1">
      <alignment horizontal="right"/>
    </xf>
    <xf numFmtId="191" fontId="109" fillId="0" borderId="8" xfId="0" applyNumberFormat="1" applyFont="1" applyBorder="1"/>
    <xf numFmtId="0" fontId="109" fillId="0" borderId="8" xfId="0" applyFont="1" applyBorder="1" applyAlignment="1">
      <alignment horizontal="right"/>
    </xf>
    <xf numFmtId="0" fontId="109" fillId="0" borderId="0" xfId="0" applyFont="1" applyBorder="1" applyAlignment="1">
      <alignment horizontal="left" vertical="center"/>
    </xf>
    <xf numFmtId="2" fontId="109" fillId="0" borderId="0" xfId="0" applyNumberFormat="1" applyFont="1" applyBorder="1" applyAlignment="1">
      <alignment vertical="center"/>
    </xf>
    <xf numFmtId="3" fontId="109" fillId="0" borderId="0" xfId="0" applyNumberFormat="1" applyFont="1" applyBorder="1" applyAlignment="1">
      <alignment vertical="center"/>
    </xf>
    <xf numFmtId="191" fontId="109" fillId="0" borderId="0" xfId="0" applyNumberFormat="1" applyFont="1" applyAlignment="1">
      <alignment vertical="center"/>
    </xf>
    <xf numFmtId="0" fontId="109" fillId="0" borderId="0" xfId="0" applyFont="1" applyAlignment="1">
      <alignment horizontal="left" vertical="center"/>
    </xf>
    <xf numFmtId="0" fontId="109" fillId="0" borderId="0" xfId="0" applyFont="1" applyAlignment="1">
      <alignment horizontal="right" vertical="center"/>
    </xf>
    <xf numFmtId="0" fontId="123" fillId="0" borderId="0" xfId="0" applyFont="1"/>
    <xf numFmtId="223" fontId="109" fillId="0" borderId="0" xfId="0" applyNumberFormat="1" applyFont="1" applyAlignment="1">
      <alignment horizontal="center"/>
    </xf>
    <xf numFmtId="226" fontId="109" fillId="0" borderId="0" xfId="0" applyNumberFormat="1" applyFont="1" applyAlignment="1">
      <alignment horizontal="center"/>
    </xf>
    <xf numFmtId="43" fontId="110" fillId="0" borderId="68" xfId="0" applyNumberFormat="1" applyFont="1" applyFill="1" applyBorder="1" applyAlignment="1">
      <alignment horizontal="center" vertical="center"/>
    </xf>
    <xf numFmtId="43" fontId="110" fillId="0" borderId="10" xfId="0" applyNumberFormat="1" applyFont="1" applyFill="1" applyBorder="1" applyAlignment="1">
      <alignment horizontal="center" vertical="center"/>
    </xf>
    <xf numFmtId="43" fontId="110" fillId="0" borderId="1" xfId="1" applyNumberFormat="1" applyFont="1" applyFill="1" applyBorder="1" applyAlignment="1">
      <alignment horizontal="centerContinuous" vertical="center"/>
    </xf>
    <xf numFmtId="0" fontId="110" fillId="0" borderId="67" xfId="0" applyFont="1" applyBorder="1"/>
    <xf numFmtId="0" fontId="109" fillId="0" borderId="68" xfId="0" applyFont="1" applyBorder="1" applyAlignment="1">
      <alignment horizontal="right"/>
    </xf>
    <xf numFmtId="0" fontId="109" fillId="0" borderId="68" xfId="0" applyFont="1" applyBorder="1" applyProtection="1">
      <protection locked="0"/>
    </xf>
    <xf numFmtId="0" fontId="109" fillId="0" borderId="69" xfId="0" applyFont="1" applyBorder="1" applyProtection="1">
      <protection locked="0"/>
    </xf>
    <xf numFmtId="0" fontId="123" fillId="0" borderId="66" xfId="0" applyFont="1" applyBorder="1"/>
    <xf numFmtId="0" fontId="123" fillId="0" borderId="12" xfId="0" applyFont="1" applyBorder="1"/>
    <xf numFmtId="198" fontId="109" fillId="0" borderId="12" xfId="0" applyNumberFormat="1" applyFont="1" applyBorder="1" applyAlignment="1">
      <alignment horizontal="center"/>
    </xf>
    <xf numFmtId="191" fontId="109" fillId="0" borderId="12" xfId="0" applyNumberFormat="1" applyFont="1" applyBorder="1" applyAlignment="1">
      <alignment horizontal="center"/>
    </xf>
    <xf numFmtId="3" fontId="109" fillId="0" borderId="66" xfId="0" applyNumberFormat="1" applyFont="1" applyBorder="1"/>
    <xf numFmtId="4" fontId="109" fillId="0" borderId="66" xfId="0" applyNumberFormat="1" applyFont="1" applyBorder="1" applyAlignment="1">
      <alignment horizontal="center"/>
    </xf>
    <xf numFmtId="0" fontId="110" fillId="0" borderId="9" xfId="0" applyFont="1" applyBorder="1"/>
    <xf numFmtId="3" fontId="109" fillId="0" borderId="8" xfId="0" applyNumberFormat="1" applyFont="1" applyBorder="1"/>
    <xf numFmtId="4" fontId="109" fillId="0" borderId="8" xfId="0" applyNumberFormat="1" applyFont="1" applyBorder="1" applyAlignment="1">
      <alignment horizontal="center"/>
    </xf>
    <xf numFmtId="0" fontId="123" fillId="0" borderId="8" xfId="0" applyFont="1" applyBorder="1"/>
    <xf numFmtId="0" fontId="109" fillId="0" borderId="0" xfId="0" applyFont="1" applyBorder="1" applyAlignment="1">
      <alignment horizontal="center"/>
    </xf>
    <xf numFmtId="3" fontId="109" fillId="0" borderId="0" xfId="0" applyNumberFormat="1" applyFont="1" applyBorder="1"/>
    <xf numFmtId="4" fontId="109" fillId="0" borderId="0" xfId="0" applyNumberFormat="1" applyFont="1" applyBorder="1" applyAlignment="1">
      <alignment horizontal="center"/>
    </xf>
    <xf numFmtId="200" fontId="109" fillId="0" borderId="0" xfId="0" applyNumberFormat="1" applyFont="1" applyBorder="1" applyAlignment="1">
      <alignment horizontal="right"/>
    </xf>
    <xf numFmtId="0" fontId="123" fillId="0" borderId="0" xfId="0" applyFont="1" applyBorder="1"/>
    <xf numFmtId="0" fontId="109" fillId="0" borderId="0" xfId="179" applyFont="1"/>
    <xf numFmtId="0" fontId="109" fillId="0" borderId="0" xfId="0" quotePrefix="1" applyFont="1" applyAlignment="1" applyProtection="1">
      <alignment horizontal="centerContinuous"/>
      <protection locked="0"/>
    </xf>
    <xf numFmtId="43" fontId="108" fillId="0" borderId="0" xfId="0" applyNumberFormat="1" applyFont="1" applyAlignment="1">
      <alignment vertical="center"/>
    </xf>
    <xf numFmtId="43" fontId="108" fillId="0" borderId="0" xfId="0" applyNumberFormat="1" applyFont="1" applyAlignment="1">
      <alignment horizontal="center" vertical="center"/>
    </xf>
    <xf numFmtId="43" fontId="108" fillId="0" borderId="0" xfId="0" applyNumberFormat="1" applyFont="1" applyFill="1" applyAlignment="1">
      <alignment vertical="center"/>
    </xf>
    <xf numFmtId="43" fontId="125" fillId="0" borderId="0" xfId="0" applyNumberFormat="1" applyFont="1" applyAlignment="1">
      <alignment vertical="center"/>
    </xf>
    <xf numFmtId="0" fontId="111" fillId="0" borderId="0" xfId="0" applyNumberFormat="1" applyFont="1" applyAlignment="1">
      <alignment horizontal="center" vertical="center"/>
    </xf>
    <xf numFmtId="43" fontId="125" fillId="14" borderId="0" xfId="0" applyNumberFormat="1" applyFont="1" applyFill="1" applyAlignment="1">
      <alignment vertical="center"/>
    </xf>
    <xf numFmtId="43" fontId="108" fillId="14" borderId="0" xfId="0" applyNumberFormat="1" applyFont="1" applyFill="1" applyAlignment="1">
      <alignment vertical="center"/>
    </xf>
    <xf numFmtId="43" fontId="108" fillId="9" borderId="0" xfId="0" applyNumberFormat="1" applyFont="1" applyFill="1" applyAlignment="1">
      <alignment vertical="center"/>
    </xf>
    <xf numFmtId="43" fontId="108" fillId="13" borderId="66" xfId="0" applyNumberFormat="1" applyFont="1" applyFill="1" applyBorder="1" applyAlignment="1">
      <alignment horizontal="center" vertical="center"/>
    </xf>
    <xf numFmtId="43" fontId="108" fillId="13" borderId="8" xfId="0" applyNumberFormat="1" applyFont="1" applyFill="1" applyBorder="1" applyAlignment="1">
      <alignment horizontal="center" vertical="center"/>
    </xf>
    <xf numFmtId="0" fontId="108" fillId="13" borderId="1" xfId="0" applyNumberFormat="1" applyFont="1" applyFill="1" applyBorder="1" applyAlignment="1">
      <alignment horizontal="center" vertical="center"/>
    </xf>
    <xf numFmtId="43" fontId="108" fillId="11" borderId="7" xfId="0" applyNumberFormat="1" applyFont="1" applyFill="1" applyBorder="1" applyAlignment="1">
      <alignment vertical="center"/>
    </xf>
    <xf numFmtId="43" fontId="108" fillId="11" borderId="16" xfId="0" applyNumberFormat="1" applyFont="1" applyFill="1" applyBorder="1" applyAlignment="1">
      <alignment vertical="center"/>
    </xf>
    <xf numFmtId="43" fontId="108" fillId="11" borderId="6" xfId="0" applyNumberFormat="1" applyFont="1" applyFill="1" applyBorder="1" applyAlignment="1">
      <alignment vertical="center"/>
    </xf>
    <xf numFmtId="200" fontId="108" fillId="11" borderId="1" xfId="0" applyNumberFormat="1" applyFont="1" applyFill="1" applyBorder="1" applyAlignment="1">
      <alignment horizontal="center" vertical="center"/>
    </xf>
    <xf numFmtId="200" fontId="108" fillId="12" borderId="1" xfId="0" applyNumberFormat="1" applyFont="1" applyFill="1" applyBorder="1" applyAlignment="1">
      <alignment horizontal="center" vertical="center"/>
    </xf>
    <xf numFmtId="43" fontId="126" fillId="0" borderId="0" xfId="1" applyFont="1" applyAlignment="1">
      <alignment horizontal="center" vertical="center"/>
    </xf>
    <xf numFmtId="0" fontId="126" fillId="0" borderId="0" xfId="0" applyNumberFormat="1" applyFont="1" applyAlignment="1">
      <alignment vertical="center"/>
    </xf>
    <xf numFmtId="43" fontId="126" fillId="0" borderId="0" xfId="0" applyNumberFormat="1" applyFont="1" applyAlignment="1">
      <alignment vertical="center"/>
    </xf>
    <xf numFmtId="200" fontId="108" fillId="0" borderId="0" xfId="0" applyNumberFormat="1" applyFont="1" applyAlignment="1">
      <alignment vertical="center"/>
    </xf>
    <xf numFmtId="200" fontId="108" fillId="12" borderId="37" xfId="0" applyNumberFormat="1" applyFont="1" applyFill="1" applyBorder="1" applyAlignment="1">
      <alignment horizontal="center" vertical="center"/>
    </xf>
    <xf numFmtId="0" fontId="108" fillId="0" borderId="0" xfId="0" applyNumberFormat="1" applyFont="1" applyAlignment="1">
      <alignment vertical="center"/>
    </xf>
    <xf numFmtId="0" fontId="108" fillId="0" borderId="0" xfId="0" applyNumberFormat="1" applyFont="1" applyAlignment="1">
      <alignment horizontal="right" vertical="center"/>
    </xf>
    <xf numFmtId="0" fontId="108" fillId="12" borderId="0" xfId="0" applyNumberFormat="1" applyFont="1" applyFill="1" applyAlignment="1">
      <alignment vertical="center"/>
    </xf>
    <xf numFmtId="43" fontId="108" fillId="12" borderId="0" xfId="1" applyFont="1" applyFill="1" applyAlignment="1">
      <alignment vertical="center"/>
    </xf>
    <xf numFmtId="43" fontId="108" fillId="12" borderId="0" xfId="0" applyNumberFormat="1" applyFont="1" applyFill="1" applyAlignment="1">
      <alignment vertical="center"/>
    </xf>
    <xf numFmtId="43" fontId="108" fillId="0" borderId="0" xfId="1" applyFont="1" applyAlignment="1">
      <alignment vertical="center"/>
    </xf>
    <xf numFmtId="43" fontId="126" fillId="0" borderId="0" xfId="0" applyNumberFormat="1" applyFont="1" applyAlignment="1">
      <alignment horizontal="left" vertical="center"/>
    </xf>
    <xf numFmtId="43" fontId="127" fillId="11" borderId="0" xfId="0" applyNumberFormat="1" applyFont="1" applyFill="1" applyAlignment="1">
      <alignment vertical="center"/>
    </xf>
    <xf numFmtId="43" fontId="108" fillId="11" borderId="0" xfId="0" applyNumberFormat="1" applyFont="1" applyFill="1" applyAlignment="1">
      <alignment vertical="center"/>
    </xf>
    <xf numFmtId="43" fontId="108" fillId="13" borderId="0" xfId="0" applyNumberFormat="1" applyFont="1" applyFill="1" applyAlignment="1" applyProtection="1">
      <alignment vertical="center"/>
    </xf>
    <xf numFmtId="43" fontId="108" fillId="13" borderId="0" xfId="0" applyNumberFormat="1" applyFont="1" applyFill="1" applyAlignment="1">
      <alignment vertical="center"/>
    </xf>
    <xf numFmtId="43" fontId="109" fillId="13" borderId="0" xfId="0" applyNumberFormat="1" applyFont="1" applyFill="1" applyAlignment="1" applyProtection="1">
      <alignment vertical="center"/>
    </xf>
    <xf numFmtId="200" fontId="108" fillId="12" borderId="0" xfId="0" applyNumberFormat="1" applyFont="1" applyFill="1" applyBorder="1" applyAlignment="1">
      <alignment horizontal="center" vertical="center"/>
    </xf>
    <xf numFmtId="43" fontId="108" fillId="0" borderId="0" xfId="0" applyNumberFormat="1" applyFont="1" applyFill="1" applyAlignment="1" applyProtection="1">
      <alignment vertical="center"/>
    </xf>
    <xf numFmtId="43" fontId="109" fillId="0" borderId="0" xfId="0" applyNumberFormat="1" applyFont="1" applyFill="1" applyAlignment="1" applyProtection="1">
      <alignment vertical="center"/>
    </xf>
    <xf numFmtId="43" fontId="109" fillId="0" borderId="0" xfId="1" applyNumberFormat="1" applyFont="1" applyFill="1" applyBorder="1" applyAlignment="1">
      <alignment horizontal="right" vertical="center"/>
    </xf>
    <xf numFmtId="200" fontId="108" fillId="12" borderId="37" xfId="0" applyNumberFormat="1" applyFont="1" applyFill="1" applyBorder="1" applyAlignment="1">
      <alignment vertical="center"/>
    </xf>
    <xf numFmtId="0" fontId="108" fillId="13" borderId="0" xfId="0" applyNumberFormat="1" applyFont="1" applyFill="1" applyAlignment="1">
      <alignment vertical="center"/>
    </xf>
    <xf numFmtId="43" fontId="125" fillId="11" borderId="0" xfId="0" applyNumberFormat="1" applyFont="1" applyFill="1" applyAlignment="1">
      <alignment vertical="center"/>
    </xf>
    <xf numFmtId="43" fontId="108" fillId="13" borderId="0" xfId="0" applyNumberFormat="1" applyFont="1" applyFill="1" applyAlignment="1">
      <alignment horizontal="right" vertical="center"/>
    </xf>
    <xf numFmtId="43" fontId="108" fillId="0" borderId="0" xfId="0" applyNumberFormat="1" applyFont="1" applyFill="1" applyAlignment="1">
      <alignment horizontal="right" vertical="center"/>
    </xf>
    <xf numFmtId="2" fontId="110" fillId="0" borderId="0" xfId="1" quotePrefix="1" applyNumberFormat="1" applyFont="1" applyAlignment="1" applyProtection="1">
      <alignment horizontal="centerContinuous"/>
      <protection hidden="1"/>
    </xf>
    <xf numFmtId="187" fontId="109" fillId="0" borderId="0" xfId="1" applyNumberFormat="1" applyFont="1" applyAlignment="1" applyProtection="1">
      <alignment horizontal="centerContinuous"/>
      <protection hidden="1"/>
    </xf>
    <xf numFmtId="0" fontId="109" fillId="0" borderId="0" xfId="0" applyFont="1" applyAlignment="1" applyProtection="1">
      <alignment horizontal="center"/>
      <protection hidden="1"/>
    </xf>
    <xf numFmtId="3" fontId="109" fillId="0" borderId="0" xfId="0" applyNumberFormat="1" applyFont="1"/>
    <xf numFmtId="0" fontId="109" fillId="0" borderId="0" xfId="0" applyNumberFormat="1" applyFont="1" applyAlignment="1" applyProtection="1">
      <alignment horizontal="left"/>
      <protection hidden="1"/>
    </xf>
    <xf numFmtId="0" fontId="109" fillId="0" borderId="0" xfId="0" applyFont="1" applyAlignment="1" applyProtection="1">
      <protection hidden="1"/>
    </xf>
    <xf numFmtId="3" fontId="109" fillId="0" borderId="0" xfId="0" applyNumberFormat="1" applyFont="1" applyAlignment="1" applyProtection="1">
      <protection hidden="1"/>
    </xf>
    <xf numFmtId="4" fontId="109" fillId="0" borderId="0" xfId="0" applyNumberFormat="1" applyFont="1" applyAlignment="1" applyProtection="1">
      <protection hidden="1"/>
    </xf>
    <xf numFmtId="3" fontId="109" fillId="0" borderId="7" xfId="0" applyNumberFormat="1" applyFont="1" applyBorder="1" applyAlignment="1">
      <alignment horizontal="centerContinuous"/>
    </xf>
    <xf numFmtId="0" fontId="109" fillId="0" borderId="16" xfId="0" applyFont="1" applyBorder="1" applyAlignment="1">
      <alignment horizontal="centerContinuous"/>
    </xf>
    <xf numFmtId="0" fontId="109" fillId="0" borderId="6" xfId="0" applyFont="1" applyBorder="1" applyAlignment="1">
      <alignment horizontal="centerContinuous"/>
    </xf>
    <xf numFmtId="3" fontId="109" fillId="0" borderId="3" xfId="0" applyNumberFormat="1" applyFont="1" applyBorder="1" applyAlignment="1">
      <alignment horizontal="centerContinuous"/>
    </xf>
    <xf numFmtId="0" fontId="109" fillId="0" borderId="13" xfId="0" applyFont="1" applyBorder="1" applyAlignment="1">
      <alignment horizontal="centerContinuous"/>
    </xf>
    <xf numFmtId="2" fontId="109" fillId="0" borderId="12" xfId="0" applyNumberFormat="1" applyFont="1" applyBorder="1" applyAlignment="1">
      <alignment horizontal="center"/>
    </xf>
    <xf numFmtId="2" fontId="109" fillId="0" borderId="8" xfId="0" applyNumberFormat="1" applyFont="1" applyBorder="1" applyAlignment="1">
      <alignment horizontal="center"/>
    </xf>
    <xf numFmtId="0" fontId="109" fillId="0" borderId="17" xfId="0" applyFont="1" applyFill="1" applyBorder="1" applyAlignment="1">
      <alignment horizontal="center"/>
    </xf>
    <xf numFmtId="0" fontId="109" fillId="0" borderId="17" xfId="0" applyFont="1" applyBorder="1"/>
    <xf numFmtId="0" fontId="109" fillId="0" borderId="17" xfId="0" applyFont="1" applyBorder="1" applyAlignment="1">
      <alignment horizontal="center"/>
    </xf>
    <xf numFmtId="200" fontId="109" fillId="0" borderId="17" xfId="0" applyNumberFormat="1" applyFont="1" applyBorder="1" applyAlignment="1">
      <alignment horizontal="center"/>
    </xf>
    <xf numFmtId="200" fontId="109" fillId="0" borderId="17" xfId="0" applyNumberFormat="1" applyFont="1" applyFill="1" applyBorder="1" applyAlignment="1">
      <alignment horizontal="center"/>
    </xf>
    <xf numFmtId="200" fontId="109" fillId="0" borderId="2" xfId="0" applyNumberFormat="1" applyFont="1" applyBorder="1" applyAlignment="1">
      <alignment horizontal="center"/>
    </xf>
    <xf numFmtId="200" fontId="109" fillId="0" borderId="17" xfId="1" applyNumberFormat="1" applyFont="1" applyBorder="1" applyAlignment="1">
      <alignment horizontal="left"/>
    </xf>
    <xf numFmtId="0" fontId="109" fillId="0" borderId="2" xfId="0" applyFont="1" applyFill="1" applyBorder="1" applyAlignment="1">
      <alignment horizontal="center"/>
    </xf>
    <xf numFmtId="0" fontId="109" fillId="0" borderId="2" xfId="0" applyFont="1" applyBorder="1"/>
    <xf numFmtId="0" fontId="109" fillId="0" borderId="2" xfId="0" applyFont="1" applyBorder="1" applyAlignment="1">
      <alignment horizontal="center"/>
    </xf>
    <xf numFmtId="200" fontId="109" fillId="0" borderId="2" xfId="0" applyNumberFormat="1" applyFont="1" applyFill="1" applyBorder="1" applyAlignment="1">
      <alignment horizontal="center"/>
    </xf>
    <xf numFmtId="200" fontId="109" fillId="0" borderId="2" xfId="1" applyNumberFormat="1" applyFont="1" applyBorder="1" applyAlignment="1">
      <alignment horizontal="left"/>
    </xf>
    <xf numFmtId="200" fontId="109" fillId="0" borderId="0" xfId="0" applyNumberFormat="1" applyFont="1"/>
    <xf numFmtId="0" fontId="109" fillId="0" borderId="18" xfId="0" applyFont="1" applyBorder="1" applyAlignment="1">
      <alignment horizontal="center"/>
    </xf>
    <xf numFmtId="0" fontId="109" fillId="0" borderId="18" xfId="0" applyFont="1" applyBorder="1"/>
    <xf numFmtId="200" fontId="109" fillId="0" borderId="18" xfId="0" applyNumberFormat="1" applyFont="1" applyBorder="1" applyAlignment="1">
      <alignment horizontal="center"/>
    </xf>
    <xf numFmtId="200" fontId="109" fillId="0" borderId="18" xfId="1" applyNumberFormat="1" applyFont="1" applyBorder="1" applyAlignment="1">
      <alignment horizontal="left"/>
    </xf>
    <xf numFmtId="0" fontId="109" fillId="0" borderId="2" xfId="0" applyFont="1" applyFill="1" applyBorder="1" applyAlignment="1">
      <alignment horizontal="left" vertical="center"/>
    </xf>
    <xf numFmtId="0" fontId="109" fillId="0" borderId="2" xfId="0" applyFont="1" applyFill="1" applyBorder="1" applyAlignment="1">
      <alignment horizontal="center" vertical="center" wrapText="1"/>
    </xf>
    <xf numFmtId="200" fontId="109" fillId="0" borderId="2" xfId="1" applyNumberFormat="1" applyFont="1" applyFill="1" applyBorder="1" applyAlignment="1">
      <alignment horizontal="left" vertical="center" wrapText="1"/>
    </xf>
    <xf numFmtId="4" fontId="109" fillId="0" borderId="0" xfId="0" applyNumberFormat="1" applyFont="1" applyFill="1"/>
    <xf numFmtId="0" fontId="109" fillId="0" borderId="2" xfId="0" applyFont="1" applyFill="1" applyBorder="1" applyAlignment="1"/>
    <xf numFmtId="0" fontId="109" fillId="0" borderId="2" xfId="0" applyFont="1" applyFill="1" applyBorder="1" applyAlignment="1">
      <alignment horizontal="center" vertical="center"/>
    </xf>
    <xf numFmtId="200" fontId="109" fillId="0" borderId="2" xfId="1" applyNumberFormat="1" applyFont="1" applyFill="1" applyBorder="1" applyAlignment="1">
      <alignment horizontal="left"/>
    </xf>
    <xf numFmtId="0" fontId="109" fillId="0" borderId="0" xfId="0" applyFont="1" applyFill="1" applyAlignment="1"/>
    <xf numFmtId="4" fontId="109" fillId="0" borderId="0" xfId="0" applyNumberFormat="1" applyFont="1" applyAlignment="1"/>
    <xf numFmtId="4" fontId="109" fillId="0" borderId="0" xfId="0" applyNumberFormat="1" applyFont="1" applyFill="1" applyAlignment="1"/>
    <xf numFmtId="0" fontId="109" fillId="0" borderId="18" xfId="0" applyFont="1" applyFill="1" applyBorder="1"/>
    <xf numFmtId="0" fontId="109" fillId="0" borderId="18" xfId="0" applyFont="1" applyFill="1" applyBorder="1" applyAlignment="1">
      <alignment horizontal="center"/>
    </xf>
    <xf numFmtId="200" fontId="109" fillId="0" borderId="18" xfId="0" applyNumberFormat="1" applyFont="1" applyFill="1" applyBorder="1" applyAlignment="1">
      <alignment horizontal="center"/>
    </xf>
    <xf numFmtId="200" fontId="109" fillId="0" borderId="18" xfId="1" applyNumberFormat="1" applyFont="1" applyFill="1" applyBorder="1" applyAlignment="1">
      <alignment horizontal="left"/>
    </xf>
    <xf numFmtId="0" fontId="109" fillId="0" borderId="2" xfId="0" applyFont="1" applyFill="1" applyBorder="1"/>
    <xf numFmtId="200" fontId="109" fillId="2" borderId="2" xfId="0" applyNumberFormat="1" applyFont="1" applyFill="1" applyBorder="1" applyAlignment="1">
      <alignment horizontal="center"/>
    </xf>
    <xf numFmtId="41" fontId="109" fillId="0" borderId="0" xfId="0" applyNumberFormat="1" applyFont="1" applyBorder="1" applyAlignment="1">
      <alignment horizontal="center"/>
    </xf>
    <xf numFmtId="0" fontId="109" fillId="0" borderId="19" xfId="0" applyFont="1" applyBorder="1" applyAlignment="1">
      <alignment horizontal="center"/>
    </xf>
    <xf numFmtId="0" fontId="109" fillId="0" borderId="19" xfId="0" applyFont="1" applyFill="1" applyBorder="1"/>
    <xf numFmtId="0" fontId="109" fillId="0" borderId="19" xfId="0" applyFont="1" applyFill="1" applyBorder="1" applyAlignment="1">
      <alignment horizontal="center"/>
    </xf>
    <xf numFmtId="200" fontId="109" fillId="0" borderId="19" xfId="0" applyNumberFormat="1" applyFont="1" applyBorder="1" applyAlignment="1">
      <alignment horizontal="center"/>
    </xf>
    <xf numFmtId="200" fontId="109" fillId="0" borderId="19" xfId="0" applyNumberFormat="1" applyFont="1" applyFill="1" applyBorder="1" applyAlignment="1">
      <alignment horizontal="center"/>
    </xf>
    <xf numFmtId="200" fontId="109" fillId="0" borderId="19" xfId="1" applyNumberFormat="1" applyFont="1" applyFill="1" applyBorder="1" applyAlignment="1">
      <alignment horizontal="left"/>
    </xf>
    <xf numFmtId="200" fontId="109" fillId="0" borderId="0" xfId="0" quotePrefix="1" applyNumberFormat="1" applyFont="1" applyFill="1" applyAlignment="1">
      <alignment horizontal="left"/>
    </xf>
    <xf numFmtId="4" fontId="109" fillId="0" borderId="0" xfId="0" applyNumberFormat="1" applyFont="1" applyFill="1" applyAlignment="1">
      <alignment horizontal="left"/>
    </xf>
    <xf numFmtId="0" fontId="109" fillId="0" borderId="0" xfId="0" applyFont="1" applyFill="1" applyAlignment="1" applyProtection="1">
      <alignment horizontal="left"/>
      <protection hidden="1"/>
    </xf>
    <xf numFmtId="0" fontId="109" fillId="0" borderId="0" xfId="0" applyFont="1" applyFill="1" applyAlignment="1" applyProtection="1">
      <alignment horizontal="center"/>
      <protection hidden="1"/>
    </xf>
    <xf numFmtId="0" fontId="109" fillId="0" borderId="0" xfId="0" applyFont="1" applyFill="1" applyAlignment="1" applyProtection="1">
      <protection hidden="1"/>
    </xf>
    <xf numFmtId="43" fontId="109" fillId="0" borderId="0" xfId="0" applyNumberFormat="1" applyFont="1" applyFill="1" applyAlignment="1"/>
    <xf numFmtId="4" fontId="109" fillId="0" borderId="0" xfId="0" applyNumberFormat="1" applyFont="1" applyFill="1" applyAlignment="1" applyProtection="1">
      <alignment horizontal="left"/>
      <protection hidden="1"/>
    </xf>
    <xf numFmtId="43" fontId="110" fillId="0" borderId="0" xfId="0" applyNumberFormat="1" applyFont="1" applyFill="1" applyAlignment="1"/>
    <xf numFmtId="43" fontId="109" fillId="0" borderId="0" xfId="0" applyNumberFormat="1" applyFont="1" applyFill="1" applyAlignment="1">
      <alignment horizontal="center"/>
    </xf>
    <xf numFmtId="0" fontId="110" fillId="0" borderId="0" xfId="0" applyFont="1" applyFill="1" applyAlignment="1">
      <alignment horizontal="center"/>
    </xf>
    <xf numFmtId="0" fontId="110" fillId="0" borderId="0" xfId="0" applyNumberFormat="1" applyFont="1" applyFill="1" applyAlignment="1"/>
    <xf numFmtId="0" fontId="110" fillId="0" borderId="0" xfId="0" applyNumberFormat="1" applyFont="1" applyFill="1" applyAlignment="1">
      <alignment horizontal="center"/>
    </xf>
    <xf numFmtId="0" fontId="109" fillId="0" borderId="0" xfId="0" applyNumberFormat="1" applyFont="1" applyFill="1" applyAlignment="1"/>
    <xf numFmtId="43" fontId="109" fillId="11" borderId="1" xfId="0" applyNumberFormat="1" applyFont="1" applyFill="1" applyBorder="1" applyAlignment="1">
      <alignment horizontal="center" vertical="center"/>
    </xf>
    <xf numFmtId="4" fontId="109" fillId="0" borderId="1" xfId="0" applyNumberFormat="1" applyFont="1" applyFill="1" applyBorder="1" applyAlignment="1">
      <alignment horizontal="center" vertical="center"/>
    </xf>
    <xf numFmtId="192" fontId="109" fillId="0" borderId="0" xfId="0" quotePrefix="1" applyNumberFormat="1" applyFont="1" applyFill="1" applyAlignment="1">
      <alignment horizontal="center"/>
    </xf>
    <xf numFmtId="192" fontId="109" fillId="0" borderId="38" xfId="0" applyNumberFormat="1" applyFont="1" applyFill="1" applyBorder="1" applyAlignment="1">
      <alignment horizontal="center"/>
    </xf>
    <xf numFmtId="0" fontId="110" fillId="0" borderId="0" xfId="0" applyNumberFormat="1" applyFont="1"/>
    <xf numFmtId="193" fontId="110" fillId="0" borderId="0" xfId="0" applyNumberFormat="1" applyFont="1" applyFill="1" applyAlignment="1">
      <alignment horizontal="center"/>
    </xf>
    <xf numFmtId="43" fontId="109" fillId="0" borderId="0" xfId="0" applyNumberFormat="1" applyFont="1" applyAlignment="1">
      <alignment horizontal="left"/>
    </xf>
    <xf numFmtId="43" fontId="109" fillId="0" borderId="0" xfId="0" applyNumberFormat="1" applyFont="1"/>
    <xf numFmtId="0" fontId="130" fillId="0" borderId="0" xfId="0" applyNumberFormat="1" applyFont="1" applyAlignment="1">
      <alignment horizontal="left"/>
    </xf>
    <xf numFmtId="43" fontId="109" fillId="11" borderId="0" xfId="0" applyNumberFormat="1" applyFont="1" applyFill="1" applyAlignment="1"/>
    <xf numFmtId="43" fontId="109" fillId="0" borderId="0" xfId="0" applyNumberFormat="1" applyFont="1" applyFill="1" applyAlignment="1">
      <alignment horizontal="left"/>
    </xf>
    <xf numFmtId="43" fontId="109" fillId="0" borderId="0" xfId="0" applyNumberFormat="1" applyFont="1" applyAlignment="1">
      <alignment horizontal="center"/>
    </xf>
    <xf numFmtId="43" fontId="109" fillId="0" borderId="38" xfId="0" applyNumberFormat="1" applyFont="1" applyFill="1" applyBorder="1" applyAlignment="1">
      <alignment horizontal="center"/>
    </xf>
    <xf numFmtId="43" fontId="108" fillId="0" borderId="0" xfId="0" applyNumberFormat="1" applyFont="1" applyFill="1" applyAlignment="1"/>
    <xf numFmtId="43" fontId="108" fillId="0" borderId="0" xfId="0" applyNumberFormat="1" applyFont="1" applyAlignment="1">
      <alignment horizontal="center"/>
    </xf>
    <xf numFmtId="0" fontId="108" fillId="0" borderId="0" xfId="0" applyNumberFormat="1" applyFont="1" applyAlignment="1">
      <alignment horizontal="left"/>
    </xf>
    <xf numFmtId="43" fontId="108" fillId="0" borderId="0" xfId="0" applyNumberFormat="1" applyFont="1" applyFill="1" applyAlignment="1">
      <alignment horizontal="center"/>
    </xf>
    <xf numFmtId="43" fontId="108" fillId="0" borderId="0" xfId="0" applyNumberFormat="1" applyFont="1" applyAlignment="1">
      <alignment horizontal="left"/>
    </xf>
    <xf numFmtId="0" fontId="110" fillId="0" borderId="0" xfId="0" applyNumberFormat="1" applyFont="1" applyAlignment="1">
      <alignment horizontal="left"/>
    </xf>
    <xf numFmtId="43" fontId="109" fillId="0" borderId="0" xfId="0" applyNumberFormat="1" applyFont="1" applyFill="1" applyBorder="1" applyAlignment="1"/>
    <xf numFmtId="43" fontId="109" fillId="0" borderId="43" xfId="0" applyNumberFormat="1" applyFont="1" applyFill="1" applyBorder="1" applyAlignment="1">
      <alignment horizontal="center"/>
    </xf>
    <xf numFmtId="0" fontId="109" fillId="0" borderId="0" xfId="0" applyNumberFormat="1" applyFont="1" applyFill="1" applyAlignment="1">
      <alignment horizontal="center"/>
    </xf>
    <xf numFmtId="0" fontId="109" fillId="0" borderId="0" xfId="0" applyFont="1" applyFill="1" applyBorder="1" applyAlignment="1"/>
    <xf numFmtId="43" fontId="109" fillId="0" borderId="0" xfId="0" quotePrefix="1" applyNumberFormat="1" applyFont="1" applyFill="1" applyAlignment="1">
      <alignment horizontal="center"/>
    </xf>
    <xf numFmtId="0" fontId="110" fillId="0" borderId="0" xfId="0" applyFont="1" applyFill="1" applyBorder="1" applyAlignment="1"/>
    <xf numFmtId="0" fontId="110" fillId="0" borderId="0" xfId="0" applyFont="1" applyFill="1" applyBorder="1" applyAlignment="1">
      <alignment horizontal="center"/>
    </xf>
    <xf numFmtId="0" fontId="110" fillId="0" borderId="0" xfId="0" applyNumberFormat="1" applyFont="1" applyFill="1" applyAlignment="1">
      <alignment horizontal="left"/>
    </xf>
    <xf numFmtId="0" fontId="109" fillId="3" borderId="0" xfId="0" applyFont="1" applyFill="1" applyAlignment="1"/>
    <xf numFmtId="4" fontId="109" fillId="3" borderId="0" xfId="0" applyNumberFormat="1" applyFont="1" applyFill="1" applyAlignment="1"/>
    <xf numFmtId="0" fontId="110" fillId="0" borderId="0" xfId="0" applyFont="1" applyFill="1" applyAlignment="1"/>
    <xf numFmtId="0" fontId="110" fillId="0" borderId="0" xfId="0" applyFont="1" applyFill="1" applyAlignment="1">
      <alignment horizontal="left"/>
    </xf>
    <xf numFmtId="192" fontId="110" fillId="0" borderId="0" xfId="0" applyNumberFormat="1" applyFont="1" applyFill="1" applyAlignment="1">
      <alignment horizontal="center"/>
    </xf>
    <xf numFmtId="0" fontId="109" fillId="0" borderId="0" xfId="0" applyFont="1" applyFill="1" applyAlignment="1">
      <alignment horizontal="right"/>
    </xf>
    <xf numFmtId="43" fontId="109" fillId="0" borderId="0" xfId="0" applyNumberFormat="1" applyFont="1" applyAlignment="1">
      <alignment horizontal="right"/>
    </xf>
    <xf numFmtId="192" fontId="109" fillId="0" borderId="0" xfId="0" applyNumberFormat="1" applyFont="1" applyAlignment="1">
      <alignment horizontal="center"/>
    </xf>
    <xf numFmtId="0" fontId="109" fillId="0" borderId="0" xfId="0" applyNumberFormat="1" applyFont="1" applyAlignment="1">
      <alignment horizontal="center"/>
    </xf>
    <xf numFmtId="2" fontId="109" fillId="0" borderId="0" xfId="0" applyNumberFormat="1" applyFont="1" applyFill="1" applyAlignment="1">
      <alignment horizontal="center"/>
    </xf>
    <xf numFmtId="0" fontId="109" fillId="0" borderId="0" xfId="0" applyFont="1" applyProtection="1"/>
    <xf numFmtId="43" fontId="109" fillId="0" borderId="0" xfId="14" applyNumberFormat="1" applyFont="1" applyAlignment="1">
      <alignment horizontal="left"/>
    </xf>
    <xf numFmtId="43" fontId="109" fillId="0" borderId="0" xfId="14" applyNumberFormat="1" applyFont="1"/>
    <xf numFmtId="0" fontId="109" fillId="0" borderId="0" xfId="0" applyFont="1" applyAlignment="1" applyProtection="1">
      <alignment horizontal="center"/>
    </xf>
    <xf numFmtId="0" fontId="109" fillId="5" borderId="0" xfId="0" applyFont="1" applyFill="1" applyAlignment="1" applyProtection="1">
      <alignment horizontal="center"/>
      <protection locked="0"/>
    </xf>
    <xf numFmtId="43" fontId="109" fillId="0" borderId="0" xfId="0" applyNumberFormat="1" applyFont="1" applyFill="1" applyAlignment="1">
      <alignment horizontal="right"/>
    </xf>
    <xf numFmtId="43" fontId="109" fillId="0" borderId="0" xfId="14" applyNumberFormat="1" applyFont="1" applyAlignment="1">
      <alignment horizontal="right"/>
    </xf>
    <xf numFmtId="0" fontId="109" fillId="0" borderId="0" xfId="0" applyFont="1" applyAlignment="1" applyProtection="1">
      <alignment horizontal="left"/>
    </xf>
    <xf numFmtId="43" fontId="130" fillId="0" borderId="0" xfId="0" applyNumberFormat="1" applyFont="1" applyFill="1" applyAlignment="1">
      <alignment horizontal="right"/>
    </xf>
    <xf numFmtId="43" fontId="130" fillId="0" borderId="38" xfId="0" applyNumberFormat="1" applyFont="1" applyFill="1" applyBorder="1" applyAlignment="1">
      <alignment horizontal="center"/>
    </xf>
    <xf numFmtId="37" fontId="109" fillId="0" borderId="0" xfId="0" applyNumberFormat="1" applyFont="1" applyAlignment="1" applyProtection="1">
      <alignment horizontal="left"/>
    </xf>
    <xf numFmtId="39" fontId="109" fillId="0" borderId="0" xfId="0" applyNumberFormat="1" applyFont="1" applyAlignment="1" applyProtection="1">
      <alignment horizontal="left"/>
    </xf>
    <xf numFmtId="199" fontId="109" fillId="0" borderId="0" xfId="0" applyNumberFormat="1" applyFont="1" applyFill="1" applyAlignment="1"/>
    <xf numFmtId="0" fontId="109" fillId="0" borderId="4" xfId="0" applyNumberFormat="1" applyFont="1" applyBorder="1" applyAlignment="1">
      <alignment horizontal="center"/>
    </xf>
    <xf numFmtId="0" fontId="109" fillId="0" borderId="14" xfId="0" applyNumberFormat="1" applyFont="1" applyBorder="1" applyAlignment="1">
      <alignment horizontal="center"/>
    </xf>
    <xf numFmtId="9" fontId="109" fillId="0" borderId="1" xfId="0" applyNumberFormat="1" applyFont="1" applyBorder="1" applyAlignment="1">
      <alignment horizontal="center"/>
    </xf>
    <xf numFmtId="0" fontId="109" fillId="0" borderId="1" xfId="0" applyNumberFormat="1" applyFont="1" applyBorder="1" applyAlignment="1">
      <alignment horizontal="center"/>
    </xf>
    <xf numFmtId="191" fontId="109" fillId="0" borderId="1" xfId="0" applyNumberFormat="1" applyFont="1" applyBorder="1" applyAlignment="1">
      <alignment horizontal="center"/>
    </xf>
    <xf numFmtId="4" fontId="110" fillId="0" borderId="0" xfId="0" applyNumberFormat="1" applyFont="1" applyFill="1" applyAlignment="1"/>
    <xf numFmtId="43" fontId="110" fillId="0" borderId="0" xfId="0" applyNumberFormat="1" applyFont="1" applyFill="1" applyAlignment="1">
      <alignment horizontal="center"/>
    </xf>
    <xf numFmtId="44" fontId="110" fillId="0" borderId="0" xfId="0" applyNumberFormat="1" applyFont="1" applyFill="1" applyAlignment="1">
      <alignment horizontal="left"/>
    </xf>
    <xf numFmtId="0" fontId="109" fillId="0" borderId="20" xfId="0" applyNumberFormat="1" applyFont="1" applyBorder="1" applyAlignment="1">
      <alignment vertical="top"/>
    </xf>
    <xf numFmtId="0" fontId="109" fillId="0" borderId="28" xfId="0" applyNumberFormat="1" applyFont="1" applyBorder="1" applyAlignment="1">
      <alignment vertical="top"/>
    </xf>
    <xf numFmtId="0" fontId="109" fillId="0" borderId="24" xfId="0" applyNumberFormat="1" applyFont="1" applyBorder="1" applyAlignment="1">
      <alignment vertical="top"/>
    </xf>
    <xf numFmtId="0" fontId="109" fillId="0" borderId="35" xfId="0" applyNumberFormat="1" applyFont="1" applyBorder="1" applyAlignment="1">
      <alignment vertical="top"/>
    </xf>
    <xf numFmtId="43" fontId="109" fillId="0" borderId="10" xfId="0" applyNumberFormat="1" applyFont="1" applyFill="1" applyBorder="1" applyAlignment="1"/>
    <xf numFmtId="201" fontId="109" fillId="0" borderId="0" xfId="0" applyNumberFormat="1" applyFont="1"/>
    <xf numFmtId="43" fontId="109" fillId="0" borderId="16" xfId="0" applyNumberFormat="1" applyFont="1" applyBorder="1"/>
    <xf numFmtId="43" fontId="109" fillId="0" borderId="0" xfId="0" applyNumberFormat="1" applyFont="1" applyFill="1" applyBorder="1" applyAlignment="1">
      <alignment horizontal="center"/>
    </xf>
    <xf numFmtId="43" fontId="109" fillId="0" borderId="0" xfId="0" applyNumberFormat="1" applyFont="1" applyBorder="1"/>
    <xf numFmtId="44" fontId="110" fillId="0" borderId="0" xfId="0" applyNumberFormat="1" applyFont="1" applyFill="1" applyBorder="1" applyAlignment="1"/>
    <xf numFmtId="44" fontId="110" fillId="0" borderId="0" xfId="0" applyNumberFormat="1" applyFont="1" applyFill="1" applyAlignment="1"/>
    <xf numFmtId="0" fontId="110" fillId="11" borderId="0" xfId="0" applyFont="1" applyFill="1" applyAlignment="1">
      <alignment horizontal="right"/>
    </xf>
    <xf numFmtId="2" fontId="110" fillId="11" borderId="10" xfId="0" applyNumberFormat="1" applyFont="1" applyFill="1" applyBorder="1" applyAlignment="1">
      <alignment horizontal="center"/>
    </xf>
    <xf numFmtId="0" fontId="110" fillId="11" borderId="0" xfId="0" applyFont="1" applyFill="1" applyAlignment="1"/>
    <xf numFmtId="0" fontId="109" fillId="11" borderId="0" xfId="0" applyFont="1" applyFill="1" applyAlignment="1">
      <alignment horizontal="right"/>
    </xf>
    <xf numFmtId="0" fontId="109" fillId="11" borderId="0" xfId="0" applyFont="1" applyFill="1" applyAlignment="1">
      <alignment horizontal="center"/>
    </xf>
    <xf numFmtId="0" fontId="130" fillId="0" borderId="0" xfId="0" applyFont="1" applyFill="1" applyAlignment="1"/>
    <xf numFmtId="3" fontId="109" fillId="0" borderId="0" xfId="0" applyNumberFormat="1" applyFont="1" applyFill="1" applyBorder="1" applyAlignment="1">
      <alignment horizontal="center"/>
    </xf>
    <xf numFmtId="3" fontId="109" fillId="0" borderId="0" xfId="0" applyNumberFormat="1" applyFont="1" applyFill="1" applyAlignment="1">
      <alignment horizontal="center"/>
    </xf>
    <xf numFmtId="0" fontId="130" fillId="0" borderId="0" xfId="0" applyFont="1" applyFill="1" applyBorder="1" applyAlignment="1">
      <alignment horizontal="left"/>
    </xf>
    <xf numFmtId="0" fontId="107" fillId="0" borderId="0" xfId="0" applyFont="1" applyFill="1" applyBorder="1" applyAlignment="1">
      <alignment horizontal="center"/>
    </xf>
    <xf numFmtId="4" fontId="109" fillId="0" borderId="0" xfId="0" applyNumberFormat="1" applyFont="1" applyFill="1" applyBorder="1" applyAlignment="1"/>
    <xf numFmtId="4" fontId="109" fillId="0" borderId="0" xfId="0" applyNumberFormat="1" applyFont="1" applyFill="1" applyBorder="1" applyAlignment="1">
      <alignment horizontal="center"/>
    </xf>
    <xf numFmtId="0" fontId="109" fillId="0" borderId="0" xfId="0" quotePrefix="1" applyNumberFormat="1" applyFont="1" applyFill="1" applyAlignment="1">
      <alignment horizontal="center"/>
    </xf>
    <xf numFmtId="0" fontId="109" fillId="0" borderId="39" xfId="0" applyNumberFormat="1" applyFont="1" applyBorder="1" applyAlignment="1">
      <alignment horizontal="center" vertical="top"/>
    </xf>
    <xf numFmtId="0" fontId="109" fillId="0" borderId="40" xfId="0" applyNumberFormat="1" applyFont="1" applyBorder="1" applyAlignment="1">
      <alignment horizontal="center" vertical="top"/>
    </xf>
    <xf numFmtId="0" fontId="109" fillId="0" borderId="41" xfId="0" applyNumberFormat="1" applyFont="1" applyBorder="1" applyAlignment="1">
      <alignment horizontal="center" vertical="top"/>
    </xf>
    <xf numFmtId="4" fontId="109" fillId="0" borderId="10" xfId="0" applyNumberFormat="1" applyFont="1" applyFill="1" applyBorder="1" applyAlignment="1">
      <alignment horizontal="center"/>
    </xf>
    <xf numFmtId="4" fontId="109" fillId="0" borderId="16" xfId="0" applyNumberFormat="1" applyFont="1" applyFill="1" applyBorder="1" applyAlignment="1">
      <alignment horizontal="center"/>
    </xf>
    <xf numFmtId="44" fontId="109" fillId="0" borderId="0" xfId="0" applyNumberFormat="1" applyFont="1" applyFill="1" applyAlignment="1"/>
    <xf numFmtId="0" fontId="129" fillId="0" borderId="0" xfId="0" applyFont="1"/>
    <xf numFmtId="0" fontId="129" fillId="0" borderId="0" xfId="0" quotePrefix="1" applyFont="1" applyAlignment="1">
      <alignment horizontal="right"/>
    </xf>
    <xf numFmtId="200" fontId="109" fillId="0" borderId="0" xfId="0" applyNumberFormat="1" applyFont="1" applyFill="1" applyAlignment="1">
      <alignment horizontal="left"/>
    </xf>
    <xf numFmtId="200" fontId="109" fillId="0" borderId="0" xfId="0" applyNumberFormat="1" applyFont="1" applyFill="1" applyAlignment="1">
      <alignment horizontal="center"/>
    </xf>
    <xf numFmtId="200" fontId="109" fillId="0" borderId="0" xfId="0" applyNumberFormat="1" applyFont="1" applyFill="1" applyAlignment="1"/>
    <xf numFmtId="0" fontId="109" fillId="0" borderId="0" xfId="3" applyFont="1" applyBorder="1"/>
    <xf numFmtId="4" fontId="109" fillId="0" borderId="1" xfId="0" applyNumberFormat="1" applyFont="1" applyFill="1" applyBorder="1" applyAlignment="1">
      <alignment horizontal="center"/>
    </xf>
    <xf numFmtId="0" fontId="109" fillId="0" borderId="3" xfId="0" applyFont="1" applyFill="1" applyBorder="1" applyAlignment="1">
      <alignment horizontal="center" vertical="center"/>
    </xf>
    <xf numFmtId="0" fontId="109" fillId="0" borderId="3" xfId="0" applyFont="1" applyFill="1" applyBorder="1" applyAlignment="1">
      <alignment horizontal="center"/>
    </xf>
    <xf numFmtId="3" fontId="109" fillId="0" borderId="3" xfId="0" applyNumberFormat="1" applyFont="1" applyFill="1" applyBorder="1" applyAlignment="1">
      <alignment horizontal="center"/>
    </xf>
    <xf numFmtId="0" fontId="109" fillId="0" borderId="8" xfId="0" applyFont="1" applyFill="1" applyBorder="1" applyAlignment="1">
      <alignment horizontal="center" vertical="center"/>
    </xf>
    <xf numFmtId="0" fontId="109" fillId="0" borderId="8" xfId="0" applyFont="1" applyFill="1" applyBorder="1" applyAlignment="1">
      <alignment horizontal="center"/>
    </xf>
    <xf numFmtId="3" fontId="109" fillId="0" borderId="12" xfId="0" applyNumberFormat="1" applyFont="1" applyFill="1" applyBorder="1" applyAlignment="1">
      <alignment horizontal="center"/>
    </xf>
    <xf numFmtId="0" fontId="109" fillId="0" borderId="12" xfId="0" applyNumberFormat="1" applyFont="1" applyFill="1" applyBorder="1" applyAlignment="1">
      <alignment horizontal="center" vertical="center"/>
    </xf>
    <xf numFmtId="43" fontId="109" fillId="0" borderId="3" xfId="0" applyNumberFormat="1" applyFont="1" applyFill="1" applyBorder="1" applyAlignment="1">
      <alignment horizontal="center"/>
    </xf>
    <xf numFmtId="43" fontId="109" fillId="0" borderId="12" xfId="0" applyNumberFormat="1" applyFont="1" applyFill="1" applyBorder="1" applyAlignment="1">
      <alignment horizontal="center"/>
    </xf>
    <xf numFmtId="0" fontId="109" fillId="0" borderId="8" xfId="0" applyNumberFormat="1" applyFont="1" applyFill="1" applyBorder="1" applyAlignment="1">
      <alignment horizontal="center" vertical="center"/>
    </xf>
    <xf numFmtId="43" fontId="109" fillId="0" borderId="8" xfId="0" applyNumberFormat="1" applyFont="1" applyFill="1" applyBorder="1" applyAlignment="1">
      <alignment horizontal="center"/>
    </xf>
    <xf numFmtId="0" fontId="109" fillId="0" borderId="1" xfId="0" applyFont="1" applyFill="1" applyBorder="1" applyAlignment="1">
      <alignment horizontal="center" vertical="center"/>
    </xf>
    <xf numFmtId="4" fontId="109" fillId="0" borderId="6" xfId="0" applyNumberFormat="1" applyFont="1" applyFill="1" applyBorder="1" applyAlignment="1">
      <alignment horizontal="center" vertical="center"/>
    </xf>
    <xf numFmtId="0" fontId="109" fillId="0" borderId="1" xfId="0" applyFont="1" applyFill="1" applyBorder="1" applyAlignment="1">
      <alignment horizontal="center"/>
    </xf>
    <xf numFmtId="4" fontId="109" fillId="0" borderId="12" xfId="0" applyNumberFormat="1" applyFont="1" applyFill="1" applyBorder="1" applyAlignment="1"/>
    <xf numFmtId="4" fontId="118" fillId="11" borderId="8" xfId="0" applyNumberFormat="1" applyFont="1" applyFill="1" applyBorder="1" applyAlignment="1">
      <alignment horizontal="center" vertical="center"/>
    </xf>
    <xf numFmtId="4" fontId="118" fillId="11" borderId="15" xfId="0" applyNumberFormat="1" applyFont="1" applyFill="1" applyBorder="1" applyAlignment="1">
      <alignment horizontal="center" vertical="center"/>
    </xf>
    <xf numFmtId="0" fontId="131" fillId="11" borderId="1" xfId="0" applyFont="1" applyFill="1" applyBorder="1" applyAlignment="1">
      <alignment horizontal="center"/>
    </xf>
    <xf numFmtId="4" fontId="109" fillId="0" borderId="3" xfId="0" applyNumberFormat="1" applyFont="1" applyFill="1" applyBorder="1" applyAlignment="1">
      <alignment horizontal="center" vertical="center"/>
    </xf>
    <xf numFmtId="0" fontId="109" fillId="0" borderId="8" xfId="0" applyFont="1" applyFill="1" applyBorder="1" applyAlignment="1">
      <alignment horizontal="center" vertical="center" wrapText="1"/>
    </xf>
    <xf numFmtId="0" fontId="109" fillId="0" borderId="1" xfId="0" applyNumberFormat="1" applyFont="1" applyBorder="1" applyAlignment="1">
      <alignment horizontal="center" vertical="center"/>
    </xf>
    <xf numFmtId="0" fontId="109" fillId="0" borderId="3" xfId="0" quotePrefix="1" applyNumberFormat="1" applyFont="1" applyFill="1" applyBorder="1" applyAlignment="1">
      <alignment horizontal="center" vertical="center"/>
    </xf>
    <xf numFmtId="3" fontId="109" fillId="0" borderId="3" xfId="0" applyNumberFormat="1" applyFont="1" applyFill="1" applyBorder="1" applyAlignment="1">
      <alignment horizontal="center" vertical="center"/>
    </xf>
    <xf numFmtId="2" fontId="109" fillId="0" borderId="3" xfId="0" applyNumberFormat="1" applyFont="1" applyFill="1" applyBorder="1" applyAlignment="1">
      <alignment horizontal="center" vertical="center"/>
    </xf>
    <xf numFmtId="2" fontId="109" fillId="0" borderId="3" xfId="0" quotePrefix="1" applyNumberFormat="1" applyFont="1" applyFill="1" applyBorder="1" applyAlignment="1">
      <alignment horizontal="center" vertical="center"/>
    </xf>
    <xf numFmtId="2" fontId="109" fillId="0" borderId="1" xfId="0" applyNumberFormat="1" applyFont="1" applyBorder="1" applyAlignment="1">
      <alignment horizontal="center" vertical="center"/>
    </xf>
    <xf numFmtId="0" fontId="109" fillId="0" borderId="12" xfId="0" quotePrefix="1" applyNumberFormat="1" applyFont="1" applyFill="1" applyBorder="1" applyAlignment="1">
      <alignment horizontal="center" vertical="center"/>
    </xf>
    <xf numFmtId="3" fontId="109" fillId="0" borderId="12" xfId="0" applyNumberFormat="1" applyFont="1" applyFill="1" applyBorder="1" applyAlignment="1">
      <alignment horizontal="center" vertical="center"/>
    </xf>
    <xf numFmtId="2" fontId="109" fillId="0" borderId="12" xfId="0" applyNumberFormat="1" applyFont="1" applyFill="1" applyBorder="1" applyAlignment="1">
      <alignment horizontal="center" vertical="center"/>
    </xf>
    <xf numFmtId="2" fontId="109" fillId="0" borderId="12" xfId="0" quotePrefix="1" applyNumberFormat="1" applyFont="1" applyFill="1" applyBorder="1" applyAlignment="1">
      <alignment horizontal="center" vertical="center"/>
    </xf>
    <xf numFmtId="0" fontId="109" fillId="0" borderId="8" xfId="0" quotePrefix="1" applyNumberFormat="1" applyFont="1" applyFill="1" applyBorder="1" applyAlignment="1">
      <alignment horizontal="center" vertical="center"/>
    </xf>
    <xf numFmtId="3" fontId="109" fillId="0" borderId="8" xfId="0" applyNumberFormat="1" applyFont="1" applyFill="1" applyBorder="1" applyAlignment="1">
      <alignment horizontal="center" vertical="center"/>
    </xf>
    <xf numFmtId="2" fontId="109" fillId="0" borderId="8" xfId="0" applyNumberFormat="1" applyFont="1" applyFill="1" applyBorder="1" applyAlignment="1">
      <alignment horizontal="center" vertical="center"/>
    </xf>
    <xf numFmtId="2" fontId="109" fillId="0" borderId="8" xfId="0" quotePrefix="1" applyNumberFormat="1" applyFont="1" applyFill="1" applyBorder="1" applyAlignment="1">
      <alignment horizontal="center" vertical="center"/>
    </xf>
    <xf numFmtId="0" fontId="109" fillId="0" borderId="4" xfId="0" quotePrefix="1" applyNumberFormat="1" applyFont="1" applyFill="1" applyBorder="1" applyAlignment="1">
      <alignment horizontal="center" vertical="center"/>
    </xf>
    <xf numFmtId="0" fontId="109" fillId="0" borderId="14" xfId="0" quotePrefix="1" applyNumberFormat="1" applyFont="1" applyFill="1" applyBorder="1" applyAlignment="1">
      <alignment horizontal="center" vertical="center"/>
    </xf>
    <xf numFmtId="0" fontId="109" fillId="0" borderId="9" xfId="0" quotePrefix="1" applyNumberFormat="1" applyFont="1" applyFill="1" applyBorder="1" applyAlignment="1">
      <alignment horizontal="center" vertical="center"/>
    </xf>
    <xf numFmtId="43" fontId="110" fillId="0" borderId="0" xfId="0" applyNumberFormat="1" applyFont="1" applyBorder="1"/>
    <xf numFmtId="43" fontId="132" fillId="0" borderId="0" xfId="0" applyNumberFormat="1" applyFont="1"/>
    <xf numFmtId="0" fontId="109" fillId="0" borderId="0" xfId="0" applyFont="1" applyFill="1" applyAlignment="1">
      <alignment horizontal="center" vertical="center"/>
    </xf>
    <xf numFmtId="4" fontId="109" fillId="0" borderId="0" xfId="0" applyNumberFormat="1" applyFont="1" applyFill="1" applyAlignment="1">
      <alignment horizontal="center" vertical="center"/>
    </xf>
    <xf numFmtId="0" fontId="131" fillId="11" borderId="1" xfId="0" applyFont="1" applyFill="1" applyBorder="1" applyAlignment="1">
      <alignment horizontal="center" vertical="center"/>
    </xf>
    <xf numFmtId="0" fontId="109" fillId="0" borderId="14" xfId="0" applyFont="1" applyFill="1" applyBorder="1" applyAlignment="1">
      <alignment horizontal="center" vertical="center"/>
    </xf>
    <xf numFmtId="4" fontId="109" fillId="0" borderId="14" xfId="0" applyNumberFormat="1" applyFont="1" applyFill="1" applyBorder="1" applyAlignment="1">
      <alignment horizontal="center" vertical="center"/>
    </xf>
    <xf numFmtId="0" fontId="109" fillId="0" borderId="12" xfId="0" applyFont="1" applyFill="1" applyBorder="1" applyAlignment="1">
      <alignment horizontal="center" vertical="center"/>
    </xf>
    <xf numFmtId="4" fontId="109" fillId="0" borderId="12" xfId="0" applyNumberFormat="1" applyFont="1" applyFill="1" applyBorder="1" applyAlignment="1">
      <alignment horizontal="center" vertical="center"/>
    </xf>
    <xf numFmtId="4" fontId="109" fillId="0" borderId="8" xfId="0" applyNumberFormat="1" applyFont="1" applyFill="1" applyBorder="1" applyAlignment="1">
      <alignment horizontal="center" vertical="center"/>
    </xf>
    <xf numFmtId="0" fontId="110" fillId="0" borderId="0" xfId="0" applyNumberFormat="1" applyFont="1" applyBorder="1"/>
    <xf numFmtId="0" fontId="109" fillId="0" borderId="0" xfId="0" applyNumberFormat="1" applyFont="1" applyBorder="1"/>
    <xf numFmtId="1" fontId="109" fillId="0" borderId="1" xfId="0" applyNumberFormat="1" applyFont="1" applyFill="1" applyBorder="1" applyAlignment="1">
      <alignment horizontal="center" vertical="center"/>
    </xf>
    <xf numFmtId="0" fontId="110" fillId="3" borderId="0" xfId="0" applyFont="1" applyFill="1" applyAlignment="1">
      <alignment horizontal="center"/>
    </xf>
    <xf numFmtId="0" fontId="110" fillId="3" borderId="0" xfId="0" applyFont="1" applyFill="1" applyBorder="1" applyAlignment="1"/>
    <xf numFmtId="44" fontId="109" fillId="0" borderId="0" xfId="0" applyNumberFormat="1" applyFont="1"/>
    <xf numFmtId="0" fontId="110" fillId="0" borderId="13" xfId="0" applyFont="1" applyBorder="1"/>
    <xf numFmtId="2" fontId="109" fillId="0" borderId="0" xfId="0" applyNumberFormat="1" applyFont="1" applyFill="1" applyAlignment="1">
      <alignment horizontal="center" vertical="center"/>
    </xf>
    <xf numFmtId="188" fontId="109" fillId="0" borderId="0" xfId="0" applyNumberFormat="1" applyFont="1" applyFill="1" applyAlignment="1">
      <alignment horizontal="center" vertical="center"/>
    </xf>
    <xf numFmtId="2" fontId="109" fillId="0" borderId="1" xfId="0" applyNumberFormat="1" applyFont="1" applyFill="1" applyBorder="1" applyAlignment="1">
      <alignment horizontal="center" vertical="center"/>
    </xf>
    <xf numFmtId="43" fontId="109" fillId="0" borderId="0" xfId="0" applyNumberFormat="1" applyFont="1" applyFill="1" applyAlignment="1">
      <alignment horizontal="center" vertical="center"/>
    </xf>
    <xf numFmtId="203" fontId="109" fillId="0" borderId="0" xfId="0" applyNumberFormat="1" applyFont="1" applyFill="1" applyAlignment="1">
      <alignment horizontal="center" vertical="center"/>
    </xf>
    <xf numFmtId="202" fontId="109" fillId="0" borderId="0" xfId="0" applyNumberFormat="1" applyFont="1" applyFill="1" applyAlignment="1"/>
    <xf numFmtId="0" fontId="130" fillId="0" borderId="0" xfId="0" applyFont="1" applyAlignment="1">
      <alignment horizontal="left"/>
    </xf>
    <xf numFmtId="43" fontId="110" fillId="0" borderId="0" xfId="0" applyNumberFormat="1" applyFont="1" applyFill="1" applyAlignment="1">
      <alignment horizontal="left" vertical="center"/>
    </xf>
    <xf numFmtId="43" fontId="109" fillId="0" borderId="0" xfId="0" applyNumberFormat="1" applyFont="1" applyFill="1" applyAlignment="1">
      <alignment vertical="center"/>
    </xf>
    <xf numFmtId="4" fontId="109" fillId="0" borderId="0" xfId="0" applyNumberFormat="1" applyFont="1" applyFill="1" applyAlignment="1">
      <alignment vertical="center"/>
    </xf>
    <xf numFmtId="0" fontId="109" fillId="0" borderId="0" xfId="0" applyFont="1" applyFill="1" applyAlignment="1">
      <alignment vertical="center"/>
    </xf>
    <xf numFmtId="43" fontId="110" fillId="0" borderId="0" xfId="0" applyNumberFormat="1" applyFont="1" applyFill="1" applyAlignment="1">
      <alignment vertical="center"/>
    </xf>
    <xf numFmtId="200" fontId="109" fillId="0" borderId="0" xfId="0" applyNumberFormat="1" applyFont="1" applyFill="1" applyAlignment="1">
      <alignment vertical="center"/>
    </xf>
    <xf numFmtId="43" fontId="109" fillId="0" borderId="0" xfId="0" applyNumberFormat="1" applyFont="1" applyAlignment="1">
      <alignment horizontal="center" vertical="center"/>
    </xf>
    <xf numFmtId="43" fontId="109" fillId="0" borderId="0" xfId="0" applyNumberFormat="1" applyFont="1" applyAlignment="1">
      <alignment vertical="center"/>
    </xf>
    <xf numFmtId="200" fontId="109" fillId="0" borderId="0" xfId="0" applyNumberFormat="1" applyFont="1" applyFill="1" applyAlignment="1">
      <alignment horizontal="center" vertical="center"/>
    </xf>
    <xf numFmtId="43" fontId="109" fillId="0" borderId="43" xfId="0" applyNumberFormat="1" applyFont="1" applyFill="1" applyBorder="1" applyAlignment="1">
      <alignment vertical="center"/>
    </xf>
    <xf numFmtId="0" fontId="110" fillId="0" borderId="39" xfId="0" applyNumberFormat="1" applyFont="1" applyBorder="1" applyAlignment="1">
      <alignment horizontal="center" vertical="top"/>
    </xf>
    <xf numFmtId="0" fontId="109" fillId="0" borderId="0" xfId="3" applyNumberFormat="1" applyFont="1" applyBorder="1"/>
    <xf numFmtId="0" fontId="109" fillId="0" borderId="1" xfId="0" applyFont="1" applyFill="1" applyBorder="1" applyAlignment="1">
      <alignment horizontal="left" vertical="center"/>
    </xf>
    <xf numFmtId="188" fontId="109" fillId="0" borderId="1" xfId="0" applyNumberFormat="1" applyFont="1" applyFill="1" applyBorder="1" applyAlignment="1">
      <alignment horizontal="center" vertical="center"/>
    </xf>
    <xf numFmtId="0" fontId="109" fillId="0" borderId="0" xfId="3" applyFont="1" applyBorder="1" applyAlignment="1">
      <alignment horizontal="center"/>
    </xf>
    <xf numFmtId="4" fontId="109" fillId="0" borderId="1" xfId="0" applyNumberFormat="1" applyFont="1" applyFill="1" applyBorder="1" applyAlignment="1">
      <alignment vertical="center"/>
    </xf>
    <xf numFmtId="43" fontId="109" fillId="0" borderId="43" xfId="0" applyNumberFormat="1" applyFont="1" applyBorder="1"/>
    <xf numFmtId="0" fontId="109" fillId="0" borderId="0" xfId="3" applyFont="1" applyBorder="1" applyAlignment="1" applyProtection="1">
      <alignment horizontal="center"/>
      <protection hidden="1"/>
    </xf>
    <xf numFmtId="43" fontId="110" fillId="0" borderId="42" xfId="0" applyNumberFormat="1" applyFont="1" applyFill="1" applyBorder="1" applyAlignment="1">
      <alignment horizontal="center" vertical="center"/>
    </xf>
    <xf numFmtId="43" fontId="109" fillId="0" borderId="39" xfId="0" applyNumberFormat="1" applyFont="1" applyFill="1" applyBorder="1" applyAlignment="1">
      <alignment horizontal="center" vertical="center"/>
    </xf>
    <xf numFmtId="4" fontId="109" fillId="0" borderId="39" xfId="0" applyNumberFormat="1" applyFont="1" applyFill="1" applyBorder="1" applyAlignment="1">
      <alignment horizontal="center" vertical="center"/>
    </xf>
    <xf numFmtId="0" fontId="109" fillId="0" borderId="39" xfId="0" applyNumberFormat="1" applyFont="1" applyFill="1" applyBorder="1" applyAlignment="1">
      <alignment horizontal="center" vertical="center"/>
    </xf>
    <xf numFmtId="1" fontId="109" fillId="0" borderId="39" xfId="0" applyNumberFormat="1" applyFont="1" applyFill="1" applyBorder="1" applyAlignment="1">
      <alignment horizontal="center" vertical="center"/>
    </xf>
    <xf numFmtId="43" fontId="109" fillId="0" borderId="41" xfId="0" applyNumberFormat="1" applyFont="1" applyFill="1" applyBorder="1" applyAlignment="1">
      <alignment horizontal="center" vertical="center"/>
    </xf>
    <xf numFmtId="4" fontId="109" fillId="0" borderId="41" xfId="0" applyNumberFormat="1" applyFont="1" applyFill="1" applyBorder="1" applyAlignment="1">
      <alignment horizontal="center" vertical="center"/>
    </xf>
    <xf numFmtId="0" fontId="109" fillId="0" borderId="41" xfId="0" applyNumberFormat="1" applyFont="1" applyFill="1" applyBorder="1" applyAlignment="1">
      <alignment horizontal="center" vertical="center"/>
    </xf>
    <xf numFmtId="1" fontId="109" fillId="0" borderId="41" xfId="0" applyNumberFormat="1" applyFont="1" applyFill="1" applyBorder="1" applyAlignment="1">
      <alignment horizontal="center" vertical="center"/>
    </xf>
    <xf numFmtId="43" fontId="109" fillId="0" borderId="40" xfId="0" applyNumberFormat="1" applyFont="1" applyFill="1" applyBorder="1" applyAlignment="1">
      <alignment horizontal="center" vertical="center"/>
    </xf>
    <xf numFmtId="4" fontId="109" fillId="0" borderId="40" xfId="0" applyNumberFormat="1" applyFont="1" applyFill="1" applyBorder="1" applyAlignment="1">
      <alignment horizontal="center" vertical="center"/>
    </xf>
    <xf numFmtId="0" fontId="109" fillId="0" borderId="40" xfId="0" applyNumberFormat="1" applyFont="1" applyFill="1" applyBorder="1" applyAlignment="1">
      <alignment horizontal="center" vertical="center"/>
    </xf>
    <xf numFmtId="1" fontId="109" fillId="0" borderId="40" xfId="0" applyNumberFormat="1" applyFont="1" applyFill="1" applyBorder="1" applyAlignment="1">
      <alignment horizontal="center" vertical="center"/>
    </xf>
    <xf numFmtId="43" fontId="119" fillId="0" borderId="20" xfId="0" applyNumberFormat="1" applyFont="1" applyFill="1" applyBorder="1" applyAlignment="1">
      <alignment horizontal="center" vertical="center"/>
    </xf>
    <xf numFmtId="4" fontId="109" fillId="0" borderId="28" xfId="0" applyNumberFormat="1" applyFont="1" applyFill="1" applyBorder="1" applyAlignment="1">
      <alignment vertical="center"/>
    </xf>
    <xf numFmtId="43" fontId="109" fillId="0" borderId="28" xfId="0" applyNumberFormat="1" applyFont="1" applyFill="1" applyBorder="1" applyAlignment="1">
      <alignment vertical="center"/>
    </xf>
    <xf numFmtId="43" fontId="109" fillId="0" borderId="28" xfId="0" applyNumberFormat="1" applyFont="1" applyFill="1" applyBorder="1" applyAlignment="1">
      <alignment horizontal="center" vertical="center"/>
    </xf>
    <xf numFmtId="0" fontId="109" fillId="0" borderId="28" xfId="0" applyFont="1" applyFill="1" applyBorder="1" applyAlignment="1">
      <alignment vertical="center"/>
    </xf>
    <xf numFmtId="0" fontId="109" fillId="0" borderId="21" xfId="0" applyFont="1" applyFill="1" applyBorder="1" applyAlignment="1">
      <alignment vertical="center"/>
    </xf>
    <xf numFmtId="43" fontId="109" fillId="0" borderId="24" xfId="0" applyNumberFormat="1" applyFont="1" applyFill="1" applyBorder="1" applyAlignment="1">
      <alignment vertical="center"/>
    </xf>
    <xf numFmtId="4" fontId="109" fillId="0" borderId="35" xfId="0" applyNumberFormat="1" applyFont="1" applyFill="1" applyBorder="1" applyAlignment="1">
      <alignment vertical="center"/>
    </xf>
    <xf numFmtId="43" fontId="109" fillId="0" borderId="35" xfId="0" applyNumberFormat="1" applyFont="1" applyFill="1" applyBorder="1" applyAlignment="1">
      <alignment vertical="center"/>
    </xf>
    <xf numFmtId="43" fontId="109" fillId="0" borderId="35" xfId="0" applyNumberFormat="1" applyFont="1" applyFill="1" applyBorder="1" applyAlignment="1">
      <alignment horizontal="center" vertical="center"/>
    </xf>
    <xf numFmtId="0" fontId="109" fillId="0" borderId="35" xfId="0" applyFont="1" applyFill="1" applyBorder="1" applyAlignment="1">
      <alignment vertical="center"/>
    </xf>
    <xf numFmtId="0" fontId="109" fillId="0" borderId="25" xfId="0" applyFont="1" applyFill="1" applyBorder="1" applyAlignment="1">
      <alignment vertical="center"/>
    </xf>
    <xf numFmtId="0" fontId="109" fillId="0" borderId="0" xfId="0" applyNumberFormat="1" applyFont="1" applyBorder="1" applyAlignment="1">
      <alignment horizontal="center"/>
    </xf>
    <xf numFmtId="0" fontId="109" fillId="0" borderId="0" xfId="3" applyNumberFormat="1" applyFont="1" applyBorder="1" applyAlignment="1" applyProtection="1">
      <alignment horizontal="center"/>
      <protection hidden="1"/>
    </xf>
    <xf numFmtId="43" fontId="109" fillId="3" borderId="0" xfId="0" applyNumberFormat="1" applyFont="1" applyFill="1" applyAlignment="1">
      <alignment horizontal="left"/>
    </xf>
    <xf numFmtId="43" fontId="110" fillId="0" borderId="0" xfId="0" applyNumberFormat="1" applyFont="1" applyFill="1" applyAlignment="1">
      <alignment horizontal="left"/>
    </xf>
    <xf numFmtId="4" fontId="110" fillId="0" borderId="0" xfId="0" applyNumberFormat="1" applyFont="1" applyFill="1" applyAlignment="1">
      <alignment horizontal="right"/>
    </xf>
    <xf numFmtId="0" fontId="110" fillId="0" borderId="0" xfId="0" applyFont="1" applyFill="1" applyAlignment="1">
      <alignment horizontal="right"/>
    </xf>
    <xf numFmtId="2" fontId="110" fillId="0" borderId="0" xfId="0" applyNumberFormat="1" applyFont="1" applyFill="1" applyAlignment="1">
      <alignment horizontal="center"/>
    </xf>
    <xf numFmtId="4" fontId="109" fillId="0" borderId="7" xfId="0" applyNumberFormat="1" applyFont="1" applyFill="1" applyBorder="1" applyAlignment="1">
      <alignment horizontal="center"/>
    </xf>
    <xf numFmtId="0" fontId="109" fillId="0" borderId="66" xfId="0" applyFont="1" applyFill="1" applyBorder="1" applyAlignment="1">
      <alignment horizontal="center" vertical="center"/>
    </xf>
    <xf numFmtId="0" fontId="120" fillId="0" borderId="0" xfId="3" applyNumberFormat="1" applyFont="1" applyBorder="1"/>
    <xf numFmtId="0" fontId="109" fillId="0" borderId="8" xfId="0" applyFont="1" applyFill="1" applyBorder="1" applyAlignment="1">
      <alignment vertical="center"/>
    </xf>
    <xf numFmtId="0" fontId="109" fillId="0" borderId="1" xfId="0" quotePrefix="1" applyFont="1" applyFill="1" applyBorder="1" applyAlignment="1">
      <alignment horizontal="center"/>
    </xf>
    <xf numFmtId="3" fontId="109" fillId="0" borderId="1" xfId="0" applyNumberFormat="1" applyFont="1" applyFill="1" applyBorder="1" applyAlignment="1">
      <alignment horizontal="center"/>
    </xf>
    <xf numFmtId="2" fontId="109" fillId="0" borderId="1" xfId="0" applyNumberFormat="1" applyFont="1" applyFill="1" applyBorder="1" applyAlignment="1">
      <alignment horizontal="center"/>
    </xf>
    <xf numFmtId="203" fontId="109" fillId="0" borderId="1" xfId="0" applyNumberFormat="1" applyFont="1" applyFill="1" applyBorder="1" applyAlignment="1">
      <alignment horizontal="center"/>
    </xf>
    <xf numFmtId="43" fontId="109" fillId="0" borderId="0" xfId="0" applyNumberFormat="1" applyFont="1" applyFill="1"/>
    <xf numFmtId="10" fontId="109" fillId="0" borderId="1" xfId="183" applyNumberFormat="1" applyFont="1" applyFill="1" applyBorder="1" applyAlignment="1">
      <alignment horizontal="center"/>
    </xf>
    <xf numFmtId="0" fontId="132" fillId="0" borderId="0" xfId="0" applyFont="1" applyFill="1" applyAlignment="1"/>
    <xf numFmtId="4" fontId="110" fillId="0" borderId="0" xfId="0" applyNumberFormat="1" applyFont="1" applyFill="1" applyAlignment="1">
      <alignment horizontal="center"/>
    </xf>
    <xf numFmtId="203" fontId="110" fillId="0" borderId="0" xfId="0" applyNumberFormat="1" applyFont="1" applyFill="1" applyAlignment="1">
      <alignment horizontal="center"/>
    </xf>
    <xf numFmtId="0" fontId="109" fillId="0" borderId="7" xfId="0" applyFont="1" applyFill="1" applyBorder="1" applyAlignment="1">
      <alignment horizontal="center"/>
    </xf>
    <xf numFmtId="0" fontId="109" fillId="0" borderId="16" xfId="0" applyFont="1" applyFill="1" applyBorder="1" applyAlignment="1">
      <alignment horizontal="center"/>
    </xf>
    <xf numFmtId="2" fontId="109" fillId="0" borderId="6" xfId="0" applyNumberFormat="1" applyFont="1" applyFill="1" applyBorder="1" applyAlignment="1">
      <alignment horizontal="center"/>
    </xf>
    <xf numFmtId="0" fontId="109" fillId="0" borderId="7" xfId="0" applyFont="1" applyFill="1" applyBorder="1" applyAlignment="1">
      <alignment horizontal="left"/>
    </xf>
    <xf numFmtId="188" fontId="109" fillId="0" borderId="1" xfId="0" applyNumberFormat="1" applyFont="1" applyFill="1" applyBorder="1" applyAlignment="1">
      <alignment horizontal="center"/>
    </xf>
    <xf numFmtId="43" fontId="109" fillId="0" borderId="10" xfId="0" applyNumberFormat="1" applyFont="1" applyBorder="1"/>
    <xf numFmtId="43" fontId="109" fillId="0" borderId="38" xfId="0" applyNumberFormat="1" applyFont="1" applyBorder="1"/>
    <xf numFmtId="0" fontId="110" fillId="0" borderId="0" xfId="3" applyNumberFormat="1" applyFont="1" applyBorder="1"/>
    <xf numFmtId="43" fontId="110" fillId="0" borderId="0" xfId="0" applyNumberFormat="1" applyFont="1" applyAlignment="1">
      <alignment horizontal="center"/>
    </xf>
    <xf numFmtId="2" fontId="110" fillId="0" borderId="0" xfId="0" applyNumberFormat="1" applyFont="1" applyAlignment="1">
      <alignment horizontal="center"/>
    </xf>
    <xf numFmtId="43" fontId="110" fillId="0" borderId="0" xfId="0" applyNumberFormat="1" applyFont="1" applyAlignment="1">
      <alignment horizontal="left"/>
    </xf>
    <xf numFmtId="0" fontId="109" fillId="0" borderId="0" xfId="0" applyNumberFormat="1" applyFont="1" applyBorder="1" applyAlignment="1">
      <alignment horizontal="center" vertical="top"/>
    </xf>
    <xf numFmtId="43" fontId="109" fillId="0" borderId="0" xfId="0" applyNumberFormat="1" applyFont="1" applyBorder="1" applyAlignment="1">
      <alignment horizontal="right" vertical="top"/>
    </xf>
    <xf numFmtId="43" fontId="109" fillId="0" borderId="0" xfId="0" applyNumberFormat="1" applyFont="1" applyFill="1" applyBorder="1" applyAlignment="1">
      <alignment horizontal="center" vertical="top"/>
    </xf>
    <xf numFmtId="43" fontId="109" fillId="0" borderId="0" xfId="0" quotePrefix="1" applyNumberFormat="1" applyFont="1" applyFill="1" applyAlignment="1">
      <alignment horizontal="right"/>
    </xf>
    <xf numFmtId="0" fontId="110" fillId="3" borderId="0" xfId="0" applyNumberFormat="1" applyFont="1" applyFill="1" applyAlignment="1">
      <alignment horizontal="center"/>
    </xf>
    <xf numFmtId="43" fontId="110" fillId="3" borderId="0" xfId="0" applyNumberFormat="1" applyFont="1" applyFill="1" applyAlignment="1"/>
    <xf numFmtId="0" fontId="109" fillId="3" borderId="0" xfId="0" applyNumberFormat="1" applyFont="1" applyFill="1" applyAlignment="1">
      <alignment horizontal="left"/>
    </xf>
    <xf numFmtId="43" fontId="109" fillId="3" borderId="0" xfId="0" applyNumberFormat="1" applyFont="1" applyFill="1" applyAlignment="1"/>
    <xf numFmtId="43" fontId="109" fillId="3" borderId="0" xfId="0" applyNumberFormat="1" applyFont="1" applyFill="1" applyAlignment="1">
      <alignment horizontal="center"/>
    </xf>
    <xf numFmtId="0" fontId="110" fillId="0" borderId="0" xfId="0" applyNumberFormat="1" applyFont="1" applyAlignment="1">
      <alignment horizontal="center"/>
    </xf>
    <xf numFmtId="0" fontId="109" fillId="0" borderId="0" xfId="0" applyNumberFormat="1" applyFont="1" applyBorder="1" applyAlignment="1">
      <alignment horizontal="left"/>
    </xf>
    <xf numFmtId="0" fontId="130" fillId="0" borderId="0" xfId="0" applyNumberFormat="1" applyFont="1"/>
    <xf numFmtId="0" fontId="109" fillId="0" borderId="0" xfId="0" applyNumberFormat="1" applyFont="1" applyFill="1" applyBorder="1" applyAlignment="1">
      <alignment horizontal="center"/>
    </xf>
    <xf numFmtId="2" fontId="109" fillId="3" borderId="0" xfId="0" applyNumberFormat="1" applyFont="1" applyFill="1" applyAlignment="1">
      <alignment horizontal="center"/>
    </xf>
    <xf numFmtId="0" fontId="109" fillId="3" borderId="0" xfId="0" applyNumberFormat="1" applyFont="1" applyFill="1" applyBorder="1" applyAlignment="1">
      <alignment horizontal="center"/>
    </xf>
    <xf numFmtId="0" fontId="109" fillId="3" borderId="0" xfId="0" applyNumberFormat="1" applyFont="1" applyFill="1" applyBorder="1" applyAlignment="1">
      <alignment horizontal="left"/>
    </xf>
    <xf numFmtId="0" fontId="109" fillId="3" borderId="0" xfId="0" applyNumberFormat="1" applyFont="1" applyFill="1"/>
    <xf numFmtId="200" fontId="109" fillId="0" borderId="1" xfId="0" applyNumberFormat="1" applyFont="1" applyFill="1" applyBorder="1" applyAlignment="1">
      <alignment horizontal="center" vertical="center"/>
    </xf>
    <xf numFmtId="0" fontId="110" fillId="0" borderId="0" xfId="0" applyNumberFormat="1" applyFont="1" applyBorder="1" applyAlignment="1">
      <alignment horizontal="center"/>
    </xf>
    <xf numFmtId="0" fontId="110" fillId="0" borderId="0" xfId="0" applyNumberFormat="1" applyFont="1" applyBorder="1" applyAlignment="1">
      <alignment horizontal="left"/>
    </xf>
    <xf numFmtId="4" fontId="109" fillId="0" borderId="0" xfId="0" applyNumberFormat="1" applyFont="1" applyBorder="1"/>
    <xf numFmtId="4" fontId="109" fillId="0" borderId="11" xfId="0" applyNumberFormat="1" applyFont="1" applyFill="1" applyBorder="1" applyAlignment="1">
      <alignment horizontal="center" vertical="center"/>
    </xf>
    <xf numFmtId="197" fontId="109" fillId="0" borderId="0" xfId="12" applyNumberFormat="1" applyFont="1" applyAlignment="1">
      <alignment horizontal="center"/>
    </xf>
    <xf numFmtId="43" fontId="109" fillId="0" borderId="0" xfId="0" applyNumberFormat="1" applyFont="1" applyBorder="1" applyAlignment="1">
      <alignment horizontal="left"/>
    </xf>
    <xf numFmtId="2" fontId="109" fillId="0" borderId="7" xfId="0" applyNumberFormat="1" applyFont="1" applyFill="1" applyBorder="1" applyAlignment="1">
      <alignment horizontal="center" vertical="center"/>
    </xf>
    <xf numFmtId="200" fontId="109" fillId="0" borderId="6" xfId="0" applyNumberFormat="1" applyFont="1" applyFill="1" applyBorder="1" applyAlignment="1">
      <alignment horizontal="center" vertical="center"/>
    </xf>
    <xf numFmtId="0" fontId="109" fillId="0" borderId="7" xfId="0" applyFont="1" applyFill="1" applyBorder="1" applyAlignment="1">
      <alignment horizontal="center" vertical="center"/>
    </xf>
    <xf numFmtId="0" fontId="109" fillId="0" borderId="4" xfId="0" applyFont="1" applyFill="1" applyBorder="1" applyAlignment="1">
      <alignment horizontal="center" vertical="center"/>
    </xf>
    <xf numFmtId="200" fontId="109" fillId="0" borderId="3" xfId="0" applyNumberFormat="1" applyFont="1" applyFill="1" applyBorder="1" applyAlignment="1">
      <alignment horizontal="center" vertical="center"/>
    </xf>
    <xf numFmtId="0" fontId="109" fillId="0" borderId="11" xfId="0" applyFont="1" applyFill="1" applyBorder="1" applyAlignment="1">
      <alignment horizontal="center" vertical="center"/>
    </xf>
    <xf numFmtId="201" fontId="109" fillId="0" borderId="0" xfId="0" applyNumberFormat="1" applyFont="1" applyBorder="1"/>
    <xf numFmtId="0" fontId="109" fillId="0" borderId="9" xfId="0" applyFont="1" applyFill="1" applyBorder="1" applyAlignment="1">
      <alignment horizontal="center" vertical="center"/>
    </xf>
    <xf numFmtId="200" fontId="109" fillId="0" borderId="8" xfId="0" applyNumberFormat="1" applyFont="1" applyFill="1" applyBorder="1" applyAlignment="1">
      <alignment horizontal="center" vertical="center"/>
    </xf>
    <xf numFmtId="202" fontId="109" fillId="0" borderId="8" xfId="0" applyNumberFormat="1" applyFont="1" applyFill="1" applyBorder="1" applyAlignment="1">
      <alignment horizontal="center" vertical="center"/>
    </xf>
    <xf numFmtId="202" fontId="109" fillId="0" borderId="15" xfId="0" applyNumberFormat="1" applyFont="1" applyFill="1" applyBorder="1" applyAlignment="1">
      <alignment horizontal="center" vertical="center"/>
    </xf>
    <xf numFmtId="4" fontId="109" fillId="3" borderId="0" xfId="0" applyNumberFormat="1" applyFont="1" applyFill="1" applyAlignment="1">
      <alignment horizontal="center" vertical="center"/>
    </xf>
    <xf numFmtId="4" fontId="109" fillId="0" borderId="0" xfId="3" applyNumberFormat="1" applyFont="1" applyBorder="1" applyAlignment="1">
      <alignment horizontal="center"/>
    </xf>
    <xf numFmtId="0" fontId="109" fillId="0" borderId="13" xfId="0" applyFont="1" applyFill="1" applyBorder="1" applyAlignment="1">
      <alignment horizontal="center" vertical="center"/>
    </xf>
    <xf numFmtId="202" fontId="109" fillId="0" borderId="1" xfId="0" applyNumberFormat="1" applyFont="1" applyFill="1" applyBorder="1" applyAlignment="1">
      <alignment horizontal="center" vertical="center"/>
    </xf>
    <xf numFmtId="4" fontId="109" fillId="0" borderId="0" xfId="0" applyNumberFormat="1" applyFont="1" applyBorder="1" applyAlignment="1">
      <alignment horizontal="left"/>
    </xf>
    <xf numFmtId="43" fontId="109" fillId="0" borderId="0" xfId="0" quotePrefix="1" applyNumberFormat="1" applyFont="1" applyAlignment="1">
      <alignment horizontal="center"/>
    </xf>
    <xf numFmtId="43" fontId="110" fillId="0" borderId="0" xfId="0" applyNumberFormat="1" applyFont="1" applyAlignment="1">
      <alignment horizontal="right"/>
    </xf>
    <xf numFmtId="4" fontId="109" fillId="0" borderId="0" xfId="0" applyNumberFormat="1" applyFont="1" applyFill="1" applyAlignment="1">
      <alignment horizontal="right"/>
    </xf>
    <xf numFmtId="2" fontId="109" fillId="0" borderId="0" xfId="0" applyNumberFormat="1" applyFont="1" applyFill="1" applyAlignment="1"/>
    <xf numFmtId="0" fontId="120" fillId="0" borderId="0" xfId="0" applyNumberFormat="1" applyFont="1" applyBorder="1"/>
    <xf numFmtId="197" fontId="109" fillId="11" borderId="0" xfId="12" applyNumberFormat="1" applyFont="1" applyFill="1" applyAlignment="1">
      <alignment horizontal="center"/>
    </xf>
    <xf numFmtId="43" fontId="109" fillId="11" borderId="0" xfId="0" applyNumberFormat="1" applyFont="1" applyFill="1" applyBorder="1"/>
    <xf numFmtId="4" fontId="109" fillId="0" borderId="8" xfId="0" applyNumberFormat="1" applyFont="1" applyFill="1" applyBorder="1" applyAlignment="1">
      <alignment horizontal="center"/>
    </xf>
    <xf numFmtId="0" fontId="109" fillId="0" borderId="0" xfId="0" applyNumberFormat="1" applyFont="1" applyBorder="1" applyAlignment="1">
      <alignment horizontal="left" indent="1"/>
    </xf>
    <xf numFmtId="201" fontId="109" fillId="0" borderId="0" xfId="1" applyNumberFormat="1" applyFont="1" applyBorder="1"/>
    <xf numFmtId="197" fontId="109" fillId="0" borderId="0" xfId="12" applyNumberFormat="1" applyFont="1" applyBorder="1" applyAlignment="1">
      <alignment horizontal="center"/>
    </xf>
    <xf numFmtId="0" fontId="109" fillId="0" borderId="6" xfId="0" applyFont="1" applyFill="1" applyBorder="1" applyAlignment="1">
      <alignment horizontal="center"/>
    </xf>
    <xf numFmtId="200" fontId="109" fillId="0" borderId="1" xfId="0" applyNumberFormat="1" applyFont="1" applyFill="1" applyBorder="1" applyAlignment="1"/>
    <xf numFmtId="203" fontId="109" fillId="0" borderId="0" xfId="0" applyNumberFormat="1" applyFont="1" applyFill="1" applyAlignment="1"/>
    <xf numFmtId="203" fontId="107" fillId="0" borderId="0" xfId="0" applyNumberFormat="1" applyFont="1" applyFill="1" applyAlignment="1"/>
    <xf numFmtId="192" fontId="109" fillId="0" borderId="0" xfId="0" applyNumberFormat="1" applyFont="1" applyAlignment="1"/>
    <xf numFmtId="0" fontId="130" fillId="0" borderId="0" xfId="0" applyNumberFormat="1" applyFont="1" applyFill="1" applyAlignment="1">
      <alignment horizontal="left"/>
    </xf>
    <xf numFmtId="193" fontId="110" fillId="0" borderId="0" xfId="0" applyNumberFormat="1" applyFont="1" applyAlignment="1">
      <alignment horizontal="center"/>
    </xf>
    <xf numFmtId="193" fontId="110" fillId="0" borderId="0" xfId="0" applyNumberFormat="1" applyFont="1" applyFill="1" applyAlignment="1">
      <alignment horizontal="left"/>
    </xf>
    <xf numFmtId="0" fontId="109" fillId="2" borderId="0" xfId="190" applyFont="1" applyFill="1" applyBorder="1" applyAlignment="1">
      <alignment horizontal="left" vertical="top"/>
    </xf>
    <xf numFmtId="43" fontId="109" fillId="0" borderId="0" xfId="0" applyNumberFormat="1" applyFont="1" applyFill="1" applyBorder="1" applyAlignment="1">
      <alignment horizontal="left"/>
    </xf>
    <xf numFmtId="43" fontId="130" fillId="0" borderId="0" xfId="0" applyNumberFormat="1" applyFont="1" applyAlignment="1">
      <alignment horizontal="center"/>
    </xf>
    <xf numFmtId="43" fontId="110" fillId="0" borderId="0" xfId="0" applyNumberFormat="1" applyFont="1"/>
    <xf numFmtId="43" fontId="109" fillId="0" borderId="0" xfId="0" applyNumberFormat="1" applyFont="1" applyFill="1" applyBorder="1" applyAlignment="1">
      <alignment horizontal="right"/>
    </xf>
    <xf numFmtId="43" fontId="110" fillId="0" borderId="0" xfId="0" quotePrefix="1" applyNumberFormat="1" applyFont="1" applyAlignment="1">
      <alignment horizontal="left"/>
    </xf>
    <xf numFmtId="193" fontId="109" fillId="0" borderId="0" xfId="0" applyNumberFormat="1" applyFont="1" applyAlignment="1">
      <alignment horizontal="right"/>
    </xf>
    <xf numFmtId="193" fontId="109" fillId="0" borderId="0" xfId="0" applyNumberFormat="1" applyFont="1" applyAlignment="1">
      <alignment horizontal="left"/>
    </xf>
    <xf numFmtId="43" fontId="125" fillId="0" borderId="0" xfId="0" applyNumberFormat="1" applyFont="1"/>
    <xf numFmtId="0" fontId="134" fillId="0" borderId="0" xfId="0" applyFont="1" applyAlignment="1">
      <alignment horizontal="center"/>
    </xf>
    <xf numFmtId="187" fontId="109" fillId="0" borderId="0" xfId="1" applyNumberFormat="1" applyFont="1"/>
    <xf numFmtId="43" fontId="125" fillId="0" borderId="0" xfId="0" applyNumberFormat="1" applyFont="1" applyFill="1"/>
    <xf numFmtId="41" fontId="109" fillId="0" borderId="0" xfId="0" applyNumberFormat="1" applyFont="1" applyFill="1" applyAlignment="1">
      <alignment horizontal="center"/>
    </xf>
    <xf numFmtId="0" fontId="110" fillId="0" borderId="0" xfId="0" applyNumberFormat="1" applyFont="1" applyFill="1"/>
    <xf numFmtId="0" fontId="134" fillId="0" borderId="0" xfId="0" applyFont="1" applyFill="1" applyAlignment="1">
      <alignment horizontal="center"/>
    </xf>
    <xf numFmtId="187" fontId="109" fillId="0" borderId="0" xfId="1" applyNumberFormat="1" applyFont="1" applyFill="1"/>
    <xf numFmtId="43" fontId="110" fillId="0" borderId="0" xfId="0" applyNumberFormat="1" applyFont="1" applyFill="1"/>
    <xf numFmtId="43" fontId="109" fillId="0" borderId="0" xfId="0" applyNumberFormat="1" applyFont="1" applyAlignment="1"/>
    <xf numFmtId="0" fontId="109" fillId="0" borderId="0" xfId="0" applyNumberFormat="1" applyFont="1" applyFill="1"/>
    <xf numFmtId="0" fontId="109" fillId="0" borderId="0" xfId="8" applyNumberFormat="1" applyFont="1" applyFill="1"/>
    <xf numFmtId="0" fontId="134" fillId="0" borderId="0" xfId="0" applyNumberFormat="1" applyFont="1" applyFill="1" applyAlignment="1">
      <alignment horizontal="center"/>
    </xf>
    <xf numFmtId="43" fontId="109" fillId="0" borderId="0" xfId="8" applyNumberFormat="1" applyFont="1" applyFill="1"/>
    <xf numFmtId="4" fontId="109" fillId="0" borderId="0" xfId="0" applyNumberFormat="1" applyFont="1" applyFill="1" applyBorder="1" applyAlignment="1">
      <alignment horizontal="right"/>
    </xf>
    <xf numFmtId="0" fontId="109" fillId="0" borderId="0" xfId="0" applyNumberFormat="1" applyFont="1" applyFill="1" applyBorder="1" applyAlignment="1">
      <alignment horizontal="right"/>
    </xf>
    <xf numFmtId="0" fontId="110" fillId="0" borderId="0" xfId="0" applyNumberFormat="1" applyFont="1" applyFill="1" applyBorder="1" applyAlignment="1">
      <alignment horizontal="left"/>
    </xf>
    <xf numFmtId="0" fontId="109" fillId="0" borderId="0" xfId="0" applyNumberFormat="1" applyFont="1" applyFill="1" applyBorder="1" applyAlignment="1">
      <alignment horizontal="left"/>
    </xf>
    <xf numFmtId="4" fontId="110" fillId="0" borderId="0" xfId="0" applyNumberFormat="1" applyFont="1" applyFill="1" applyBorder="1" applyAlignment="1">
      <alignment horizontal="right"/>
    </xf>
    <xf numFmtId="0" fontId="110" fillId="0" borderId="0" xfId="0" applyNumberFormat="1" applyFont="1" applyFill="1" applyBorder="1" applyAlignment="1">
      <alignment horizontal="right"/>
    </xf>
    <xf numFmtId="0" fontId="109" fillId="0" borderId="0" xfId="0" applyNumberFormat="1" applyFont="1" applyFill="1" applyBorder="1" applyAlignment="1"/>
    <xf numFmtId="4" fontId="109" fillId="0" borderId="0" xfId="8" applyNumberFormat="1" applyFont="1" applyFill="1" applyAlignment="1">
      <alignment horizontal="center"/>
    </xf>
    <xf numFmtId="4" fontId="110" fillId="0" borderId="0" xfId="0" applyNumberFormat="1" applyFont="1" applyFill="1" applyBorder="1" applyAlignment="1">
      <alignment horizontal="center"/>
    </xf>
    <xf numFmtId="0" fontId="110" fillId="0" borderId="0" xfId="0" applyNumberFormat="1" applyFont="1" applyFill="1" applyBorder="1" applyAlignment="1">
      <alignment horizontal="center"/>
    </xf>
    <xf numFmtId="0" fontId="135" fillId="0" borderId="0" xfId="175" applyFont="1" applyFill="1"/>
    <xf numFmtId="187" fontId="135" fillId="0" borderId="0" xfId="160" applyNumberFormat="1" applyFont="1" applyFill="1"/>
    <xf numFmtId="0" fontId="122" fillId="0" borderId="0" xfId="175" applyFont="1" applyFill="1"/>
    <xf numFmtId="0" fontId="135" fillId="0" borderId="0" xfId="175" applyFont="1" applyFill="1" applyAlignment="1">
      <alignment horizontal="center"/>
    </xf>
    <xf numFmtId="43" fontId="135" fillId="0" borderId="0" xfId="149" applyFont="1" applyFill="1"/>
    <xf numFmtId="187" fontId="122" fillId="0" borderId="0" xfId="158" applyFont="1" applyFill="1"/>
    <xf numFmtId="0" fontId="122" fillId="0" borderId="0" xfId="160" applyNumberFormat="1" applyFont="1" applyFill="1" applyAlignment="1">
      <alignment horizontal="center"/>
    </xf>
    <xf numFmtId="187" fontId="136" fillId="10" borderId="0" xfId="158" applyFont="1" applyFill="1"/>
    <xf numFmtId="0" fontId="137" fillId="0" borderId="0" xfId="175" applyFont="1" applyFill="1"/>
    <xf numFmtId="227" fontId="135" fillId="0" borderId="0" xfId="175" applyNumberFormat="1" applyFont="1" applyFill="1"/>
    <xf numFmtId="0" fontId="135" fillId="0" borderId="0" xfId="175" applyFont="1" applyFill="1" applyAlignment="1">
      <alignment horizontal="right"/>
    </xf>
    <xf numFmtId="228" fontId="135" fillId="0" borderId="0" xfId="160" applyNumberFormat="1" applyFont="1" applyFill="1"/>
    <xf numFmtId="0" fontId="138" fillId="0" borderId="0" xfId="185" applyFont="1" applyFill="1" applyAlignment="1" applyProtection="1"/>
    <xf numFmtId="187" fontId="135" fillId="0" borderId="0" xfId="158" applyFont="1" applyFill="1"/>
    <xf numFmtId="0" fontId="139" fillId="0" borderId="0" xfId="185" applyFont="1" applyFill="1" applyAlignment="1" applyProtection="1"/>
    <xf numFmtId="0" fontId="135" fillId="0" borderId="0" xfId="175" applyFont="1" applyFill="1" applyAlignment="1">
      <alignment horizontal="left"/>
    </xf>
    <xf numFmtId="0" fontId="122" fillId="0" borderId="0" xfId="175" applyFont="1" applyFill="1" applyAlignment="1">
      <alignment horizontal="right"/>
    </xf>
    <xf numFmtId="0" fontId="122" fillId="0" borderId="0" xfId="175" applyFont="1" applyFill="1" applyAlignment="1">
      <alignment horizontal="left"/>
    </xf>
    <xf numFmtId="0" fontId="122" fillId="10" borderId="0" xfId="160" applyNumberFormat="1" applyFont="1" applyFill="1" applyAlignment="1">
      <alignment horizontal="center"/>
    </xf>
    <xf numFmtId="187" fontId="136" fillId="0" borderId="0" xfId="158" applyFont="1" applyFill="1"/>
    <xf numFmtId="0" fontId="109" fillId="0" borderId="0" xfId="0" applyFont="1" applyAlignment="1" applyProtection="1">
      <alignment horizontal="center"/>
      <protection locked="0"/>
    </xf>
    <xf numFmtId="0" fontId="5" fillId="0" borderId="0" xfId="7" applyFont="1" applyFill="1" applyAlignment="1">
      <alignment horizontal="center"/>
    </xf>
    <xf numFmtId="43" fontId="110" fillId="0" borderId="8" xfId="0" applyNumberFormat="1" applyFont="1" applyFill="1" applyBorder="1" applyAlignment="1">
      <alignment vertical="center"/>
    </xf>
    <xf numFmtId="0" fontId="109" fillId="0" borderId="0" xfId="0" applyFont="1" applyBorder="1" applyAlignment="1" applyProtection="1">
      <alignment horizontal="centerContinuous" vertical="center"/>
      <protection locked="0"/>
    </xf>
    <xf numFmtId="0" fontId="109" fillId="0" borderId="0" xfId="0" applyFont="1" applyBorder="1" applyAlignment="1" applyProtection="1">
      <alignment vertical="center"/>
      <protection locked="0"/>
    </xf>
    <xf numFmtId="0" fontId="110" fillId="0" borderId="0" xfId="13" applyFont="1" applyBorder="1" applyAlignment="1" applyProtection="1">
      <alignment horizontal="left" vertical="center"/>
      <protection locked="0"/>
    </xf>
    <xf numFmtId="188" fontId="109" fillId="0" borderId="0" xfId="0" applyNumberFormat="1" applyFont="1" applyFill="1" applyAlignment="1" applyProtection="1">
      <alignment horizontal="center"/>
      <protection locked="0"/>
    </xf>
    <xf numFmtId="0" fontId="109" fillId="0" borderId="0" xfId="0" applyFont="1" applyAlignment="1" applyProtection="1">
      <alignment horizontal="right"/>
    </xf>
    <xf numFmtId="39" fontId="109" fillId="0" borderId="0" xfId="0" quotePrefix="1" applyNumberFormat="1" applyFont="1" applyAlignment="1" applyProtection="1">
      <alignment horizontal="left"/>
    </xf>
    <xf numFmtId="39" fontId="109" fillId="0" borderId="0" xfId="0" applyNumberFormat="1" applyFont="1" applyProtection="1"/>
    <xf numFmtId="39" fontId="110" fillId="0" borderId="0" xfId="0" applyNumberFormat="1" applyFont="1" applyAlignment="1" applyProtection="1">
      <alignment horizontal="left"/>
    </xf>
    <xf numFmtId="187" fontId="109" fillId="10" borderId="20" xfId="4" applyNumberFormat="1" applyFont="1" applyFill="1" applyBorder="1" applyAlignment="1"/>
    <xf numFmtId="187" fontId="109" fillId="10" borderId="28" xfId="4" applyNumberFormat="1" applyFont="1" applyFill="1" applyBorder="1" applyAlignment="1"/>
    <xf numFmtId="2" fontId="110" fillId="10" borderId="42" xfId="4" applyNumberFormat="1" applyFont="1" applyFill="1" applyBorder="1" applyAlignment="1">
      <alignment horizontal="center"/>
    </xf>
    <xf numFmtId="187" fontId="109" fillId="10" borderId="83" xfId="4" applyNumberFormat="1" applyFont="1" applyFill="1" applyBorder="1" applyAlignment="1"/>
    <xf numFmtId="187" fontId="109" fillId="10" borderId="10" xfId="4" applyNumberFormat="1" applyFont="1" applyFill="1" applyBorder="1" applyAlignment="1"/>
    <xf numFmtId="2" fontId="110" fillId="10" borderId="84" xfId="4" applyNumberFormat="1" applyFont="1" applyFill="1" applyBorder="1" applyAlignment="1">
      <alignment horizontal="center"/>
    </xf>
    <xf numFmtId="187" fontId="109" fillId="10" borderId="1" xfId="4" applyNumberFormat="1" applyFont="1" applyFill="1" applyBorder="1" applyAlignment="1" applyProtection="1">
      <alignment horizontal="center"/>
    </xf>
    <xf numFmtId="187" fontId="109" fillId="10" borderId="45" xfId="4" applyNumberFormat="1" applyFont="1" applyFill="1" applyBorder="1" applyAlignment="1" applyProtection="1">
      <alignment horizontal="center"/>
    </xf>
    <xf numFmtId="187" fontId="109" fillId="10" borderId="73" xfId="4" applyNumberFormat="1" applyFont="1" applyFill="1" applyBorder="1" applyAlignment="1" applyProtection="1"/>
    <xf numFmtId="187" fontId="109" fillId="10" borderId="69" xfId="4" applyNumberFormat="1" applyFont="1" applyFill="1" applyBorder="1" applyAlignment="1" applyProtection="1"/>
    <xf numFmtId="187" fontId="109" fillId="10" borderId="85" xfId="4" applyNumberFormat="1" applyFont="1" applyFill="1" applyBorder="1" applyAlignment="1" applyProtection="1"/>
    <xf numFmtId="4" fontId="109" fillId="10" borderId="74" xfId="4" applyNumberFormat="1" applyFont="1" applyFill="1" applyBorder="1" applyAlignment="1" applyProtection="1"/>
    <xf numFmtId="4" fontId="109" fillId="10" borderId="13" xfId="4" applyNumberFormat="1" applyFont="1" applyFill="1" applyBorder="1" applyAlignment="1" applyProtection="1"/>
    <xf numFmtId="4" fontId="109" fillId="10" borderId="23" xfId="4" applyNumberFormat="1" applyFont="1" applyFill="1" applyBorder="1" applyAlignment="1" applyProtection="1"/>
    <xf numFmtId="4" fontId="109" fillId="10" borderId="74" xfId="4" applyNumberFormat="1" applyFont="1" applyFill="1" applyBorder="1" applyAlignment="1"/>
    <xf numFmtId="4" fontId="109" fillId="10" borderId="13" xfId="4" applyNumberFormat="1" applyFont="1" applyFill="1" applyBorder="1" applyAlignment="1"/>
    <xf numFmtId="4" fontId="109" fillId="10" borderId="23" xfId="4" applyNumberFormat="1" applyFont="1" applyFill="1" applyBorder="1" applyAlignment="1"/>
    <xf numFmtId="4" fontId="109" fillId="10" borderId="75" xfId="4" applyNumberFormat="1" applyFont="1" applyFill="1" applyBorder="1" applyAlignment="1"/>
    <xf numFmtId="4" fontId="109" fillId="10" borderId="86" xfId="4" applyNumberFormat="1" applyFont="1" applyFill="1" applyBorder="1" applyAlignment="1"/>
    <xf numFmtId="4" fontId="109" fillId="10" borderId="87" xfId="4" applyNumberFormat="1" applyFont="1" applyFill="1" applyBorder="1" applyAlignment="1" applyProtection="1"/>
    <xf numFmtId="4" fontId="109" fillId="10" borderId="88" xfId="4" applyNumberFormat="1" applyFont="1" applyFill="1" applyBorder="1" applyAlignment="1" applyProtection="1"/>
    <xf numFmtId="187" fontId="109" fillId="3" borderId="20" xfId="4" applyNumberFormat="1" applyFont="1" applyFill="1" applyBorder="1" applyAlignment="1"/>
    <xf numFmtId="187" fontId="109" fillId="3" borderId="28" xfId="4" applyNumberFormat="1" applyFont="1" applyFill="1" applyBorder="1" applyAlignment="1"/>
    <xf numFmtId="2" fontId="110" fillId="3" borderId="42" xfId="4" applyNumberFormat="1" applyFont="1" applyFill="1" applyBorder="1" applyAlignment="1">
      <alignment horizontal="center"/>
    </xf>
    <xf numFmtId="187" fontId="109" fillId="3" borderId="83" xfId="4" applyNumberFormat="1" applyFont="1" applyFill="1" applyBorder="1" applyAlignment="1"/>
    <xf numFmtId="187" fontId="109" fillId="3" borderId="10" xfId="4" applyNumberFormat="1" applyFont="1" applyFill="1" applyBorder="1" applyAlignment="1"/>
    <xf numFmtId="2" fontId="110" fillId="3" borderId="84" xfId="4" applyNumberFormat="1" applyFont="1" applyFill="1" applyBorder="1" applyAlignment="1">
      <alignment horizontal="center"/>
    </xf>
    <xf numFmtId="187" fontId="109" fillId="3" borderId="1" xfId="4" applyNumberFormat="1" applyFont="1" applyFill="1" applyBorder="1" applyAlignment="1" applyProtection="1">
      <alignment horizontal="center"/>
    </xf>
    <xf numFmtId="187" fontId="109" fillId="3" borderId="45" xfId="4" applyNumberFormat="1" applyFont="1" applyFill="1" applyBorder="1" applyAlignment="1" applyProtection="1">
      <alignment horizontal="center"/>
    </xf>
    <xf numFmtId="187" fontId="109" fillId="3" borderId="73" xfId="4" applyNumberFormat="1" applyFont="1" applyFill="1" applyBorder="1" applyAlignment="1" applyProtection="1"/>
    <xf numFmtId="187" fontId="109" fillId="3" borderId="69" xfId="4" applyNumberFormat="1" applyFont="1" applyFill="1" applyBorder="1" applyAlignment="1" applyProtection="1"/>
    <xf numFmtId="187" fontId="109" fillId="3" borderId="85" xfId="4" applyNumberFormat="1" applyFont="1" applyFill="1" applyBorder="1" applyAlignment="1" applyProtection="1"/>
    <xf numFmtId="4" fontId="109" fillId="3" borderId="74" xfId="4" applyNumberFormat="1" applyFont="1" applyFill="1" applyBorder="1" applyAlignment="1" applyProtection="1"/>
    <xf numFmtId="4" fontId="109" fillId="3" borderId="13" xfId="4" applyNumberFormat="1" applyFont="1" applyFill="1" applyBorder="1" applyAlignment="1" applyProtection="1"/>
    <xf numFmtId="4" fontId="109" fillId="3" borderId="23" xfId="4" applyNumberFormat="1" applyFont="1" applyFill="1" applyBorder="1" applyAlignment="1" applyProtection="1"/>
    <xf numFmtId="4" fontId="109" fillId="3" borderId="74" xfId="4" applyNumberFormat="1" applyFont="1" applyFill="1" applyBorder="1" applyAlignment="1"/>
    <xf numFmtId="4" fontId="109" fillId="3" borderId="13" xfId="4" applyNumberFormat="1" applyFont="1" applyFill="1" applyBorder="1" applyAlignment="1"/>
    <xf numFmtId="4" fontId="109" fillId="3" borderId="23" xfId="4" applyNumberFormat="1" applyFont="1" applyFill="1" applyBorder="1" applyAlignment="1"/>
    <xf numFmtId="4" fontId="109" fillId="3" borderId="75" xfId="4" applyNumberFormat="1" applyFont="1" applyFill="1" applyBorder="1" applyAlignment="1"/>
    <xf numFmtId="4" fontId="109" fillId="3" borderId="86" xfId="4" applyNumberFormat="1" applyFont="1" applyFill="1" applyBorder="1" applyAlignment="1"/>
    <xf numFmtId="4" fontId="109" fillId="3" borderId="87" xfId="4" applyNumberFormat="1" applyFont="1" applyFill="1" applyBorder="1" applyAlignment="1" applyProtection="1"/>
    <xf numFmtId="4" fontId="109" fillId="3" borderId="88" xfId="4" applyNumberFormat="1" applyFont="1" applyFill="1" applyBorder="1" applyAlignment="1" applyProtection="1"/>
    <xf numFmtId="0" fontId="122" fillId="0" borderId="0" xfId="7" applyFont="1" applyFill="1" applyAlignment="1">
      <alignment horizontal="center"/>
    </xf>
    <xf numFmtId="0" fontId="140" fillId="0" borderId="0" xfId="7" applyFont="1" applyFill="1"/>
    <xf numFmtId="0" fontId="141" fillId="0" borderId="0" xfId="7" applyFont="1" applyFill="1"/>
    <xf numFmtId="0" fontId="141" fillId="0" borderId="0" xfId="7" applyFont="1" applyFill="1" applyBorder="1"/>
    <xf numFmtId="0" fontId="109" fillId="0" borderId="0" xfId="7" applyFont="1" applyFill="1" applyBorder="1"/>
    <xf numFmtId="0" fontId="109" fillId="0" borderId="0" xfId="7" applyFont="1" applyFill="1"/>
    <xf numFmtId="2" fontId="122" fillId="3" borderId="1" xfId="7" applyNumberFormat="1" applyFont="1" applyFill="1" applyBorder="1" applyAlignment="1">
      <alignment horizontal="center"/>
    </xf>
    <xf numFmtId="0" fontId="140" fillId="3" borderId="66" xfId="7" applyFont="1" applyFill="1" applyBorder="1" applyAlignment="1">
      <alignment horizontal="center"/>
    </xf>
    <xf numFmtId="0" fontId="140" fillId="3" borderId="12" xfId="7" applyFont="1" applyFill="1" applyBorder="1" applyAlignment="1">
      <alignment horizontal="center"/>
    </xf>
    <xf numFmtId="0" fontId="140" fillId="3" borderId="12" xfId="7" applyFont="1" applyFill="1" applyBorder="1"/>
    <xf numFmtId="0" fontId="140" fillId="3" borderId="8" xfId="7" applyFont="1" applyFill="1" applyBorder="1" applyAlignment="1">
      <alignment horizontal="center"/>
    </xf>
    <xf numFmtId="0" fontId="141" fillId="3" borderId="66" xfId="7" applyFont="1" applyFill="1" applyBorder="1"/>
    <xf numFmtId="2" fontId="141" fillId="3" borderId="0" xfId="7" applyNumberFormat="1" applyFont="1" applyFill="1"/>
    <xf numFmtId="2" fontId="141" fillId="3" borderId="66" xfId="7" applyNumberFormat="1" applyFont="1" applyFill="1" applyBorder="1"/>
    <xf numFmtId="0" fontId="141" fillId="3" borderId="12" xfId="7" applyFont="1" applyFill="1" applyBorder="1"/>
    <xf numFmtId="2" fontId="141" fillId="3" borderId="12" xfId="7" applyNumberFormat="1" applyFont="1" applyFill="1" applyBorder="1"/>
    <xf numFmtId="0" fontId="141" fillId="3" borderId="8" xfId="7" applyFont="1" applyFill="1" applyBorder="1"/>
    <xf numFmtId="2" fontId="141" fillId="3" borderId="9" xfId="7" applyNumberFormat="1" applyFont="1" applyFill="1" applyBorder="1"/>
    <xf numFmtId="2" fontId="141" fillId="3" borderId="8" xfId="7" applyNumberFormat="1" applyFont="1" applyFill="1" applyBorder="1"/>
    <xf numFmtId="0" fontId="141" fillId="3" borderId="67" xfId="7" applyFont="1" applyFill="1" applyBorder="1"/>
    <xf numFmtId="2" fontId="141" fillId="3" borderId="67" xfId="7" applyNumberFormat="1" applyFont="1" applyFill="1" applyBorder="1"/>
    <xf numFmtId="0" fontId="141" fillId="3" borderId="14" xfId="7" applyFont="1" applyFill="1" applyBorder="1"/>
    <xf numFmtId="2" fontId="141" fillId="3" borderId="14" xfId="7" applyNumberFormat="1" applyFont="1" applyFill="1" applyBorder="1"/>
    <xf numFmtId="0" fontId="141" fillId="3" borderId="9" xfId="7" applyFont="1" applyFill="1" applyBorder="1"/>
    <xf numFmtId="2" fontId="141" fillId="3" borderId="10" xfId="7" applyNumberFormat="1" applyFont="1" applyFill="1" applyBorder="1"/>
    <xf numFmtId="0" fontId="141" fillId="3" borderId="67" xfId="7" applyFont="1" applyFill="1" applyBorder="1" applyAlignment="1">
      <alignment horizontal="center"/>
    </xf>
    <xf numFmtId="2" fontId="141" fillId="3" borderId="68" xfId="7" applyNumberFormat="1" applyFont="1" applyFill="1" applyBorder="1" applyAlignment="1">
      <alignment horizontal="center"/>
    </xf>
    <xf numFmtId="2" fontId="141" fillId="3" borderId="69" xfId="7" applyNumberFormat="1" applyFont="1" applyFill="1" applyBorder="1" applyAlignment="1">
      <alignment horizontal="center"/>
    </xf>
    <xf numFmtId="0" fontId="141" fillId="3" borderId="14" xfId="7" applyFont="1" applyFill="1" applyBorder="1" applyAlignment="1">
      <alignment horizontal="center"/>
    </xf>
    <xf numFmtId="2" fontId="141" fillId="3" borderId="0" xfId="7" applyNumberFormat="1" applyFont="1" applyFill="1" applyBorder="1" applyAlignment="1">
      <alignment horizontal="center"/>
    </xf>
    <xf numFmtId="2" fontId="141" fillId="3" borderId="13" xfId="7" applyNumberFormat="1" applyFont="1" applyFill="1" applyBorder="1" applyAlignment="1">
      <alignment horizontal="center"/>
    </xf>
    <xf numFmtId="0" fontId="141" fillId="3" borderId="9" xfId="7" applyFont="1" applyFill="1" applyBorder="1" applyAlignment="1">
      <alignment horizontal="center"/>
    </xf>
    <xf numFmtId="2" fontId="141" fillId="3" borderId="10" xfId="7" applyNumberFormat="1" applyFont="1" applyFill="1" applyBorder="1" applyAlignment="1">
      <alignment horizontal="center"/>
    </xf>
    <xf numFmtId="2" fontId="141" fillId="3" borderId="15" xfId="7" applyNumberFormat="1" applyFont="1" applyFill="1" applyBorder="1" applyAlignment="1">
      <alignment horizontal="center"/>
    </xf>
    <xf numFmtId="200" fontId="142" fillId="0" borderId="67" xfId="7" applyNumberFormat="1" applyFont="1" applyFill="1" applyBorder="1"/>
    <xf numFmtId="200" fontId="142" fillId="0" borderId="66" xfId="7" applyNumberFormat="1" applyFont="1" applyFill="1" applyBorder="1"/>
    <xf numFmtId="200" fontId="142" fillId="0" borderId="69" xfId="7" applyNumberFormat="1" applyFont="1" applyFill="1" applyBorder="1"/>
    <xf numFmtId="200" fontId="142" fillId="0" borderId="68" xfId="7" applyNumberFormat="1" applyFont="1" applyFill="1" applyBorder="1"/>
    <xf numFmtId="200" fontId="142" fillId="0" borderId="14" xfId="7" applyNumberFormat="1" applyFont="1" applyFill="1" applyBorder="1"/>
    <xf numFmtId="200" fontId="142" fillId="0" borderId="12" xfId="7" applyNumberFormat="1" applyFont="1" applyFill="1" applyBorder="1"/>
    <xf numFmtId="0" fontId="108" fillId="0" borderId="0" xfId="0" applyFont="1" applyFill="1" applyAlignment="1">
      <alignment horizontal="right"/>
    </xf>
    <xf numFmtId="188" fontId="109" fillId="0" borderId="0" xfId="0" applyNumberFormat="1" applyFont="1" applyAlignment="1" applyProtection="1">
      <alignment horizontal="center"/>
      <protection locked="0"/>
    </xf>
    <xf numFmtId="0" fontId="109" fillId="0" borderId="68" xfId="0" applyFont="1" applyBorder="1" applyAlignment="1" applyProtection="1">
      <alignment horizontal="centerContinuous"/>
      <protection locked="0"/>
    </xf>
    <xf numFmtId="188" fontId="109" fillId="0" borderId="0" xfId="0" applyNumberFormat="1" applyFont="1" applyFill="1" applyAlignment="1" applyProtection="1">
      <protection locked="0"/>
    </xf>
    <xf numFmtId="43" fontId="117" fillId="0" borderId="68" xfId="0" applyNumberFormat="1" applyFont="1" applyFill="1" applyBorder="1" applyAlignment="1">
      <alignment vertical="center"/>
    </xf>
    <xf numFmtId="0" fontId="109" fillId="11" borderId="0" xfId="0" applyFont="1" applyFill="1" applyBorder="1" applyAlignment="1">
      <alignment horizontal="left"/>
    </xf>
    <xf numFmtId="0" fontId="109" fillId="0" borderId="0" xfId="0" applyFont="1" applyAlignment="1" applyProtection="1">
      <alignment horizontal="center"/>
      <protection locked="0"/>
    </xf>
    <xf numFmtId="2" fontId="109" fillId="0" borderId="0" xfId="0" applyNumberFormat="1" applyFont="1" applyAlignment="1">
      <alignment horizontal="right"/>
    </xf>
    <xf numFmtId="0" fontId="144" fillId="0" borderId="0" xfId="0" applyFont="1"/>
    <xf numFmtId="43" fontId="132" fillId="0" borderId="0" xfId="1" applyFont="1" applyFill="1" applyAlignment="1">
      <alignment horizontal="center"/>
    </xf>
    <xf numFmtId="0" fontId="108" fillId="0" borderId="0" xfId="0" applyNumberFormat="1" applyFont="1" applyFill="1" applyAlignment="1">
      <alignment vertical="center"/>
    </xf>
    <xf numFmtId="200" fontId="108" fillId="0" borderId="0" xfId="0" applyNumberFormat="1" applyFont="1" applyFill="1" applyBorder="1" applyAlignment="1">
      <alignment horizontal="center" vertical="center"/>
    </xf>
    <xf numFmtId="0" fontId="109" fillId="0" borderId="0" xfId="0" applyFont="1" applyAlignment="1">
      <alignment horizontal="center"/>
    </xf>
    <xf numFmtId="200" fontId="109" fillId="0" borderId="0" xfId="0" applyNumberFormat="1" applyFont="1" applyBorder="1" applyProtection="1">
      <protection locked="0"/>
    </xf>
    <xf numFmtId="0" fontId="120" fillId="0" borderId="0" xfId="0" applyNumberFormat="1" applyFont="1" applyFill="1" applyAlignment="1">
      <alignment horizontal="left"/>
    </xf>
    <xf numFmtId="0" fontId="129" fillId="0" borderId="0" xfId="0" applyNumberFormat="1" applyFont="1" applyFill="1" applyAlignment="1">
      <alignment horizontal="left"/>
    </xf>
    <xf numFmtId="43" fontId="119" fillId="0" borderId="0" xfId="0" applyNumberFormat="1" applyFont="1" applyAlignment="1">
      <alignment horizontal="left"/>
    </xf>
    <xf numFmtId="0" fontId="146" fillId="13" borderId="0" xfId="0" applyNumberFormat="1" applyFont="1" applyFill="1" applyAlignment="1">
      <alignment vertical="center"/>
    </xf>
    <xf numFmtId="43" fontId="121" fillId="0" borderId="0" xfId="0" applyNumberFormat="1" applyFont="1" applyFill="1" applyAlignment="1">
      <alignment vertical="center"/>
    </xf>
    <xf numFmtId="226" fontId="120" fillId="11" borderId="0" xfId="0" applyNumberFormat="1" applyFont="1" applyFill="1" applyAlignment="1" applyProtection="1">
      <alignment horizontal="center"/>
      <protection locked="0"/>
    </xf>
    <xf numFmtId="0" fontId="148" fillId="0" borderId="0" xfId="0" applyNumberFormat="1" applyFont="1" applyAlignment="1">
      <alignment horizontal="center" vertical="center"/>
    </xf>
    <xf numFmtId="43" fontId="121" fillId="14" borderId="0" xfId="0" applyNumberFormat="1" applyFont="1" applyFill="1" applyAlignment="1">
      <alignment vertical="center"/>
    </xf>
    <xf numFmtId="43" fontId="121" fillId="11" borderId="16" xfId="0" applyNumberFormat="1" applyFont="1" applyFill="1" applyBorder="1" applyAlignment="1">
      <alignment vertical="center"/>
    </xf>
    <xf numFmtId="43" fontId="121" fillId="0" borderId="0" xfId="0" applyNumberFormat="1" applyFont="1" applyAlignment="1">
      <alignment vertical="center"/>
    </xf>
    <xf numFmtId="0" fontId="121" fillId="12" borderId="0" xfId="0" applyNumberFormat="1" applyFont="1" applyFill="1" applyAlignment="1">
      <alignment vertical="center"/>
    </xf>
    <xf numFmtId="0" fontId="121" fillId="0" borderId="0" xfId="0" applyNumberFormat="1" applyFont="1" applyAlignment="1">
      <alignment vertical="center"/>
    </xf>
    <xf numFmtId="43" fontId="121" fillId="0" borderId="0" xfId="1" applyFont="1" applyAlignment="1">
      <alignment vertical="center"/>
    </xf>
    <xf numFmtId="43" fontId="121" fillId="11" borderId="0" xfId="0" applyNumberFormat="1" applyFont="1" applyFill="1" applyAlignment="1">
      <alignment vertical="center"/>
    </xf>
    <xf numFmtId="43" fontId="121" fillId="13" borderId="0" xfId="0" applyNumberFormat="1" applyFont="1" applyFill="1" applyAlignment="1">
      <alignment vertical="center"/>
    </xf>
    <xf numFmtId="0" fontId="109" fillId="0" borderId="12" xfId="0" applyFont="1" applyFill="1" applyBorder="1"/>
    <xf numFmtId="200" fontId="109" fillId="0" borderId="12" xfId="0" applyNumberFormat="1" applyFont="1" applyFill="1" applyBorder="1" applyAlignment="1">
      <alignment horizontal="center"/>
    </xf>
    <xf numFmtId="200" fontId="109" fillId="2" borderId="12" xfId="0" applyNumberFormat="1" applyFont="1" applyFill="1" applyBorder="1" applyAlignment="1">
      <alignment horizontal="center"/>
    </xf>
    <xf numFmtId="200" fontId="109" fillId="0" borderId="12" xfId="1" applyNumberFormat="1" applyFont="1" applyFill="1" applyBorder="1" applyAlignment="1">
      <alignment horizontal="left"/>
    </xf>
    <xf numFmtId="0" fontId="108" fillId="0" borderId="89" xfId="0" applyNumberFormat="1" applyFont="1" applyFill="1" applyBorder="1" applyAlignment="1">
      <alignment vertical="center"/>
    </xf>
    <xf numFmtId="0" fontId="109" fillId="0" borderId="18" xfId="0" applyFont="1" applyFill="1" applyBorder="1" applyAlignment="1">
      <alignment horizontal="left"/>
    </xf>
    <xf numFmtId="43" fontId="121" fillId="3" borderId="0" xfId="0" applyNumberFormat="1" applyFont="1" applyFill="1" applyAlignment="1">
      <alignment vertical="center"/>
    </xf>
    <xf numFmtId="43" fontId="108" fillId="0" borderId="0" xfId="1" applyFont="1" applyFill="1" applyAlignment="1">
      <alignment vertical="center"/>
    </xf>
    <xf numFmtId="0" fontId="121" fillId="0" borderId="0" xfId="0" applyNumberFormat="1" applyFont="1" applyFill="1" applyAlignment="1">
      <alignment vertical="center"/>
    </xf>
    <xf numFmtId="0" fontId="108" fillId="0" borderId="0" xfId="0" applyNumberFormat="1" applyFont="1" applyFill="1" applyAlignment="1">
      <alignment horizontal="right" vertical="center"/>
    </xf>
    <xf numFmtId="0" fontId="109" fillId="11" borderId="0" xfId="0" applyFont="1" applyFill="1" applyAlignment="1" applyProtection="1">
      <alignment horizontal="left"/>
    </xf>
    <xf numFmtId="43" fontId="110" fillId="0" borderId="66" xfId="0" applyNumberFormat="1" applyFont="1" applyFill="1" applyBorder="1" applyAlignment="1">
      <alignment horizontal="center" vertical="center"/>
    </xf>
    <xf numFmtId="230" fontId="109" fillId="11" borderId="0" xfId="0" applyNumberFormat="1" applyFont="1" applyFill="1" applyBorder="1" applyAlignment="1">
      <alignment horizontal="center"/>
    </xf>
    <xf numFmtId="227" fontId="109" fillId="0" borderId="14" xfId="0" applyNumberFormat="1" applyFont="1" applyBorder="1" applyAlignment="1">
      <alignment horizontal="center"/>
    </xf>
    <xf numFmtId="193" fontId="150" fillId="0" borderId="0" xfId="0" applyNumberFormat="1" applyFont="1" applyFill="1" applyAlignment="1">
      <alignment horizontal="center"/>
    </xf>
    <xf numFmtId="0" fontId="150" fillId="0" borderId="0" xfId="0" applyNumberFormat="1" applyFont="1" applyFill="1" applyAlignment="1">
      <alignment horizontal="center"/>
    </xf>
    <xf numFmtId="0" fontId="109" fillId="0" borderId="0" xfId="0" quotePrefix="1" applyFont="1" applyAlignment="1" applyProtection="1">
      <alignment horizontal="center" vertical="center"/>
      <protection locked="0"/>
    </xf>
    <xf numFmtId="190" fontId="152" fillId="0" borderId="0" xfId="0" applyNumberFormat="1" applyFont="1"/>
    <xf numFmtId="190" fontId="152" fillId="0" borderId="0" xfId="0" applyNumberFormat="1" applyFont="1" applyBorder="1" applyAlignment="1">
      <alignment vertical="center"/>
    </xf>
    <xf numFmtId="190" fontId="23" fillId="0" borderId="0" xfId="0" applyNumberFormat="1" applyFont="1"/>
    <xf numFmtId="190" fontId="153" fillId="0" borderId="0" xfId="0" applyNumberFormat="1" applyFont="1" applyAlignment="1"/>
    <xf numFmtId="190" fontId="23" fillId="0" borderId="0" xfId="0" applyNumberFormat="1" applyFont="1" applyAlignment="1"/>
    <xf numFmtId="0" fontId="151" fillId="0" borderId="0" xfId="0" applyFont="1" applyBorder="1" applyAlignment="1">
      <alignment vertical="center"/>
    </xf>
    <xf numFmtId="190" fontId="23" fillId="0" borderId="0" xfId="0" applyNumberFormat="1" applyFont="1" applyBorder="1" applyAlignment="1">
      <alignment horizontal="center" vertical="center"/>
    </xf>
    <xf numFmtId="190" fontId="154" fillId="0" borderId="0" xfId="0" applyNumberFormat="1" applyFont="1"/>
    <xf numFmtId="190" fontId="23" fillId="0" borderId="0" xfId="0" applyNumberFormat="1" applyFont="1" applyBorder="1" applyAlignment="1">
      <alignment vertical="center"/>
    </xf>
    <xf numFmtId="190" fontId="155" fillId="0" borderId="0" xfId="0" applyNumberFormat="1" applyFont="1"/>
    <xf numFmtId="190" fontId="155" fillId="0" borderId="0" xfId="0" applyNumberFormat="1" applyFont="1" applyBorder="1" applyAlignment="1">
      <alignment vertical="center"/>
    </xf>
    <xf numFmtId="0" fontId="155" fillId="0" borderId="0" xfId="184" applyFont="1" applyAlignment="1" applyProtection="1">
      <alignment vertical="top"/>
      <protection locked="0"/>
    </xf>
    <xf numFmtId="190" fontId="155" fillId="0" borderId="0" xfId="0" applyNumberFormat="1" applyFont="1" applyAlignment="1"/>
    <xf numFmtId="0" fontId="155" fillId="0" borderId="0" xfId="184" applyFont="1" applyAlignment="1" applyProtection="1">
      <alignment vertical="center"/>
      <protection locked="0"/>
    </xf>
    <xf numFmtId="0" fontId="155" fillId="0" borderId="0" xfId="0" applyNumberFormat="1" applyFont="1"/>
    <xf numFmtId="190" fontId="155" fillId="0" borderId="0" xfId="0" applyNumberFormat="1" applyFont="1" applyAlignment="1">
      <alignment vertical="center"/>
    </xf>
    <xf numFmtId="0" fontId="108" fillId="0" borderId="0" xfId="0" applyFont="1" applyAlignment="1"/>
    <xf numFmtId="0" fontId="155" fillId="0" borderId="0" xfId="0" applyFont="1" applyBorder="1" applyAlignment="1">
      <alignment vertical="center"/>
    </xf>
    <xf numFmtId="43" fontId="156" fillId="0" borderId="0" xfId="1" applyFont="1" applyBorder="1" applyAlignment="1">
      <alignment vertical="center"/>
    </xf>
    <xf numFmtId="0" fontId="135" fillId="0" borderId="0" xfId="0" quotePrefix="1" applyFont="1" applyAlignment="1" applyProtection="1">
      <alignment horizontal="left" vertical="center"/>
      <protection locked="0"/>
    </xf>
    <xf numFmtId="190" fontId="155" fillId="0" borderId="0" xfId="0" applyNumberFormat="1" applyFont="1" applyBorder="1" applyAlignment="1">
      <alignment horizontal="center" vertical="center"/>
    </xf>
    <xf numFmtId="0" fontId="69" fillId="0" borderId="0" xfId="189" applyFont="1" applyAlignment="1">
      <alignment horizontal="center" vertical="top"/>
    </xf>
    <xf numFmtId="0" fontId="114" fillId="0" borderId="0" xfId="0" applyFont="1" applyAlignment="1">
      <alignment horizontal="center" vertical="center"/>
    </xf>
    <xf numFmtId="0" fontId="116" fillId="0" borderId="0" xfId="0" applyFont="1" applyAlignment="1">
      <alignment horizontal="center" vertical="center"/>
    </xf>
    <xf numFmtId="0" fontId="115" fillId="0" borderId="0" xfId="0" applyFont="1" applyFill="1" applyAlignment="1">
      <alignment horizontal="center" vertical="center"/>
    </xf>
    <xf numFmtId="0" fontId="112" fillId="0" borderId="0" xfId="0" applyFont="1" applyAlignment="1">
      <alignment horizontal="center" vertical="center"/>
    </xf>
    <xf numFmtId="0" fontId="113" fillId="0" borderId="0" xfId="0" applyFont="1" applyAlignment="1">
      <alignment horizontal="center" vertical="center"/>
    </xf>
    <xf numFmtId="2" fontId="75" fillId="0" borderId="0" xfId="15" applyNumberFormat="1" applyFont="1" applyFill="1" applyAlignment="1">
      <alignment horizontal="right" vertical="center"/>
    </xf>
    <xf numFmtId="2" fontId="75" fillId="0" borderId="0" xfId="15" applyNumberFormat="1" applyFont="1" applyFill="1" applyBorder="1" applyAlignment="1">
      <alignment horizontal="right" vertical="center"/>
    </xf>
    <xf numFmtId="0" fontId="18" fillId="0" borderId="0" xfId="15" applyFont="1" applyFill="1" applyBorder="1" applyAlignment="1">
      <alignment horizontal="center" vertical="top"/>
    </xf>
    <xf numFmtId="0" fontId="4" fillId="15" borderId="3" xfId="15" applyFont="1" applyFill="1" applyBorder="1" applyAlignment="1">
      <alignment horizontal="center" vertical="center"/>
    </xf>
    <xf numFmtId="0" fontId="4" fillId="15" borderId="8" xfId="15" applyFont="1" applyFill="1" applyBorder="1" applyAlignment="1">
      <alignment horizontal="center" vertical="center"/>
    </xf>
    <xf numFmtId="0" fontId="4" fillId="15" borderId="1" xfId="15" applyFont="1" applyFill="1" applyBorder="1" applyAlignment="1">
      <alignment horizontal="center" vertical="top"/>
    </xf>
    <xf numFmtId="0" fontId="4" fillId="15" borderId="7" xfId="15" applyFont="1" applyFill="1" applyBorder="1" applyAlignment="1">
      <alignment horizontal="center" vertical="top"/>
    </xf>
    <xf numFmtId="0" fontId="4" fillId="15" borderId="16" xfId="15" applyFont="1" applyFill="1" applyBorder="1" applyAlignment="1">
      <alignment horizontal="center" vertical="top"/>
    </xf>
    <xf numFmtId="0" fontId="4" fillId="15" borderId="6" xfId="15" applyFont="1" applyFill="1" applyBorder="1" applyAlignment="1">
      <alignment horizontal="center" vertical="top"/>
    </xf>
    <xf numFmtId="4" fontId="4" fillId="19" borderId="7" xfId="15" applyNumberFormat="1" applyFont="1" applyFill="1" applyBorder="1" applyAlignment="1">
      <alignment horizontal="center" vertical="center"/>
    </xf>
    <xf numFmtId="4" fontId="4" fillId="19" borderId="16" xfId="15" applyNumberFormat="1" applyFont="1" applyFill="1" applyBorder="1" applyAlignment="1">
      <alignment horizontal="center" vertical="center"/>
    </xf>
    <xf numFmtId="4" fontId="4" fillId="19" borderId="6" xfId="15" applyNumberFormat="1" applyFont="1" applyFill="1" applyBorder="1" applyAlignment="1">
      <alignment horizontal="center" vertical="center"/>
    </xf>
    <xf numFmtId="3" fontId="4" fillId="19" borderId="7" xfId="15" applyNumberFormat="1" applyFont="1" applyFill="1" applyBorder="1" applyAlignment="1">
      <alignment horizontal="right" vertical="center"/>
    </xf>
    <xf numFmtId="3" fontId="4" fillId="19" borderId="16" xfId="15" applyNumberFormat="1" applyFont="1" applyFill="1" applyBorder="1" applyAlignment="1">
      <alignment horizontal="right" vertical="center"/>
    </xf>
    <xf numFmtId="3" fontId="4" fillId="19" borderId="6" xfId="15" applyNumberFormat="1" applyFont="1" applyFill="1" applyBorder="1" applyAlignment="1">
      <alignment horizontal="right" vertical="center"/>
    </xf>
    <xf numFmtId="0" fontId="143" fillId="0" borderId="0" xfId="0" applyFont="1" applyAlignment="1" applyProtection="1">
      <alignment horizontal="center"/>
      <protection locked="0"/>
    </xf>
    <xf numFmtId="0" fontId="135" fillId="0" borderId="0" xfId="0" applyFont="1" applyFill="1" applyAlignment="1" applyProtection="1">
      <alignment horizontal="center" vertical="center"/>
      <protection locked="0"/>
    </xf>
    <xf numFmtId="0" fontId="108" fillId="0" borderId="0" xfId="0" applyFont="1" applyAlignment="1">
      <alignment horizontal="center" vertical="center"/>
    </xf>
    <xf numFmtId="0" fontId="108" fillId="0" borderId="0" xfId="0" applyFont="1" applyAlignment="1">
      <alignment horizontal="center"/>
    </xf>
    <xf numFmtId="43" fontId="110" fillId="0" borderId="1" xfId="1" applyNumberFormat="1" applyFont="1" applyFill="1" applyBorder="1" applyAlignment="1">
      <alignment horizontal="center"/>
    </xf>
    <xf numFmtId="43" fontId="110" fillId="0" borderId="4" xfId="0" applyNumberFormat="1" applyFont="1" applyFill="1" applyBorder="1" applyAlignment="1">
      <alignment horizontal="center" vertical="center"/>
    </xf>
    <xf numFmtId="43" fontId="110" fillId="0" borderId="5" xfId="0" applyNumberFormat="1" applyFont="1" applyFill="1" applyBorder="1" applyAlignment="1">
      <alignment horizontal="center" vertical="center"/>
    </xf>
    <xf numFmtId="43" fontId="110" fillId="0" borderId="68" xfId="0" applyNumberFormat="1" applyFont="1" applyFill="1" applyBorder="1" applyAlignment="1">
      <alignment horizontal="center" vertical="center"/>
    </xf>
    <xf numFmtId="43" fontId="110" fillId="0" borderId="11" xfId="0" applyNumberFormat="1" applyFont="1" applyFill="1" applyBorder="1" applyAlignment="1">
      <alignment horizontal="center" vertical="center"/>
    </xf>
    <xf numFmtId="43" fontId="110" fillId="0" borderId="9" xfId="0" applyNumberFormat="1" applyFont="1" applyFill="1" applyBorder="1" applyAlignment="1">
      <alignment horizontal="center" vertical="center"/>
    </xf>
    <xf numFmtId="43" fontId="110" fillId="0" borderId="10" xfId="0" applyNumberFormat="1" applyFont="1" applyFill="1" applyBorder="1" applyAlignment="1">
      <alignment horizontal="center" vertical="center"/>
    </xf>
    <xf numFmtId="43" fontId="110" fillId="0" borderId="15" xfId="0" applyNumberFormat="1" applyFont="1" applyFill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110" fillId="0" borderId="3" xfId="0" applyFont="1" applyFill="1" applyBorder="1" applyAlignment="1">
      <alignment horizontal="center" vertical="center" wrapText="1"/>
    </xf>
    <xf numFmtId="0" fontId="110" fillId="0" borderId="8" xfId="0" applyFont="1" applyFill="1" applyBorder="1" applyAlignment="1">
      <alignment horizontal="center" vertical="center" wrapText="1"/>
    </xf>
    <xf numFmtId="43" fontId="110" fillId="0" borderId="66" xfId="0" applyNumberFormat="1" applyFont="1" applyFill="1" applyBorder="1" applyAlignment="1">
      <alignment horizontal="center" vertical="center"/>
    </xf>
    <xf numFmtId="43" fontId="110" fillId="0" borderId="8" xfId="0" applyNumberFormat="1" applyFont="1" applyFill="1" applyBorder="1" applyAlignment="1">
      <alignment horizontal="center" vertical="center"/>
    </xf>
    <xf numFmtId="43" fontId="110" fillId="0" borderId="6" xfId="1" applyNumberFormat="1" applyFont="1" applyFill="1" applyBorder="1" applyAlignment="1">
      <alignment horizontal="center" vertical="center"/>
    </xf>
    <xf numFmtId="43" fontId="110" fillId="0" borderId="6" xfId="0" applyNumberFormat="1" applyFont="1" applyFill="1" applyBorder="1" applyAlignment="1">
      <alignment horizontal="center" vertical="center"/>
    </xf>
    <xf numFmtId="43" fontId="110" fillId="0" borderId="7" xfId="1" applyNumberFormat="1" applyFont="1" applyFill="1" applyBorder="1" applyAlignment="1">
      <alignment horizontal="center" vertical="center"/>
    </xf>
    <xf numFmtId="0" fontId="109" fillId="0" borderId="0" xfId="0" applyFont="1" applyAlignment="1">
      <alignment horizontal="center"/>
    </xf>
    <xf numFmtId="0" fontId="109" fillId="0" borderId="0" xfId="0" applyFont="1" applyAlignment="1">
      <alignment horizontal="center" vertical="center"/>
    </xf>
    <xf numFmtId="191" fontId="110" fillId="0" borderId="1" xfId="1" applyNumberFormat="1" applyFont="1" applyFill="1" applyBorder="1" applyAlignment="1">
      <alignment horizontal="center" vertical="center"/>
    </xf>
    <xf numFmtId="191" fontId="110" fillId="0" borderId="1" xfId="0" applyNumberFormat="1" applyFont="1" applyFill="1" applyBorder="1" applyAlignment="1">
      <alignment horizontal="center" vertical="center"/>
    </xf>
    <xf numFmtId="188" fontId="109" fillId="0" borderId="0" xfId="0" applyNumberFormat="1" applyFont="1" applyAlignment="1">
      <alignment horizontal="center"/>
    </xf>
    <xf numFmtId="43" fontId="110" fillId="0" borderId="67" xfId="0" applyNumberFormat="1" applyFont="1" applyFill="1" applyBorder="1" applyAlignment="1">
      <alignment horizontal="center" vertical="center"/>
    </xf>
    <xf numFmtId="43" fontId="110" fillId="0" borderId="69" xfId="0" applyNumberFormat="1" applyFont="1" applyFill="1" applyBorder="1" applyAlignment="1">
      <alignment horizontal="center" vertical="center"/>
    </xf>
    <xf numFmtId="0" fontId="122" fillId="0" borderId="0" xfId="0" applyFont="1" applyAlignment="1">
      <alignment horizontal="center" vertical="center"/>
    </xf>
    <xf numFmtId="43" fontId="110" fillId="0" borderId="1" xfId="0" applyNumberFormat="1" applyFont="1" applyFill="1" applyBorder="1" applyAlignment="1">
      <alignment horizontal="center" vertical="center"/>
    </xf>
    <xf numFmtId="200" fontId="109" fillId="0" borderId="0" xfId="0" applyNumberFormat="1" applyFont="1" applyFill="1" applyBorder="1" applyAlignment="1">
      <alignment horizontal="center"/>
    </xf>
    <xf numFmtId="0" fontId="110" fillId="0" borderId="3" xfId="0" quotePrefix="1" applyFont="1" applyFill="1" applyBorder="1" applyAlignment="1">
      <alignment horizontal="center" vertical="center" wrapText="1"/>
    </xf>
    <xf numFmtId="43" fontId="110" fillId="0" borderId="7" xfId="1" applyNumberFormat="1" applyFont="1" applyFill="1" applyBorder="1" applyAlignment="1">
      <alignment horizontal="center"/>
    </xf>
    <xf numFmtId="43" fontId="110" fillId="0" borderId="6" xfId="1" applyNumberFormat="1" applyFont="1" applyFill="1" applyBorder="1" applyAlignment="1">
      <alignment horizontal="center"/>
    </xf>
    <xf numFmtId="0" fontId="124" fillId="0" borderId="66" xfId="0" applyFont="1" applyBorder="1" applyAlignment="1">
      <alignment horizontal="center" vertical="center"/>
    </xf>
    <xf numFmtId="0" fontId="124" fillId="0" borderId="8" xfId="0" applyFont="1" applyBorder="1" applyAlignment="1">
      <alignment horizontal="center" vertical="center"/>
    </xf>
    <xf numFmtId="189" fontId="110" fillId="0" borderId="1" xfId="1" applyNumberFormat="1" applyFont="1" applyFill="1" applyBorder="1" applyAlignment="1">
      <alignment horizontal="center" vertical="center"/>
    </xf>
    <xf numFmtId="189" fontId="110" fillId="0" borderId="1" xfId="0" applyNumberFormat="1" applyFont="1" applyFill="1" applyBorder="1" applyAlignment="1">
      <alignment horizontal="center" vertical="center"/>
    </xf>
    <xf numFmtId="4" fontId="23" fillId="41" borderId="47" xfId="15" applyNumberFormat="1" applyFont="1" applyFill="1" applyBorder="1" applyAlignment="1">
      <alignment horizontal="right" vertical="center"/>
    </xf>
    <xf numFmtId="4" fontId="23" fillId="41" borderId="48" xfId="15" applyNumberFormat="1" applyFont="1" applyFill="1" applyBorder="1" applyAlignment="1">
      <alignment horizontal="right" vertical="center"/>
    </xf>
    <xf numFmtId="4" fontId="23" fillId="41" borderId="76" xfId="15" applyNumberFormat="1" applyFont="1" applyFill="1" applyBorder="1" applyAlignment="1">
      <alignment horizontal="right" vertical="center"/>
    </xf>
    <xf numFmtId="0" fontId="23" fillId="15" borderId="9" xfId="17" applyFont="1" applyFill="1" applyBorder="1" applyAlignment="1">
      <alignment horizontal="center" vertical="center"/>
    </xf>
    <xf numFmtId="0" fontId="23" fillId="15" borderId="15" xfId="17" applyFont="1" applyFill="1" applyBorder="1" applyAlignment="1">
      <alignment horizontal="center" vertical="center"/>
    </xf>
    <xf numFmtId="0" fontId="23" fillId="0" borderId="1" xfId="15" applyFont="1" applyFill="1" applyBorder="1" applyAlignment="1">
      <alignment horizontal="center" vertical="center"/>
    </xf>
    <xf numFmtId="0" fontId="23" fillId="0" borderId="6" xfId="15" applyFont="1" applyFill="1" applyBorder="1" applyAlignment="1">
      <alignment horizontal="center" vertical="center"/>
    </xf>
    <xf numFmtId="0" fontId="23" fillId="15" borderId="66" xfId="15" applyFont="1" applyFill="1" applyBorder="1" applyAlignment="1">
      <alignment horizontal="center" vertical="center" wrapText="1"/>
    </xf>
    <xf numFmtId="0" fontId="23" fillId="15" borderId="12" xfId="15" applyFont="1" applyFill="1" applyBorder="1" applyAlignment="1">
      <alignment horizontal="center" vertical="center" wrapText="1"/>
    </xf>
    <xf numFmtId="0" fontId="23" fillId="15" borderId="46" xfId="15" applyFont="1" applyFill="1" applyBorder="1" applyAlignment="1">
      <alignment horizontal="center" vertical="center" wrapText="1"/>
    </xf>
    <xf numFmtId="0" fontId="23" fillId="15" borderId="31" xfId="15" applyFont="1" applyFill="1" applyBorder="1" applyAlignment="1">
      <alignment horizontal="center" vertical="center" wrapText="1"/>
    </xf>
    <xf numFmtId="0" fontId="23" fillId="0" borderId="66" xfId="15" applyFont="1" applyFill="1" applyBorder="1" applyAlignment="1">
      <alignment horizontal="center" vertical="center" wrapText="1"/>
    </xf>
    <xf numFmtId="0" fontId="23" fillId="0" borderId="12" xfId="15" applyFont="1" applyFill="1" applyBorder="1" applyAlignment="1">
      <alignment horizontal="center" vertical="center" wrapText="1"/>
    </xf>
    <xf numFmtId="0" fontId="23" fillId="0" borderId="8" xfId="15" applyFont="1" applyFill="1" applyBorder="1" applyAlignment="1">
      <alignment horizontal="center" vertical="center" wrapText="1"/>
    </xf>
    <xf numFmtId="0" fontId="23" fillId="15" borderId="73" xfId="15" applyFont="1" applyFill="1" applyBorder="1" applyAlignment="1">
      <alignment horizontal="center" vertical="center"/>
    </xf>
    <xf numFmtId="0" fontId="23" fillId="15" borderId="74" xfId="15" applyFont="1" applyFill="1" applyBorder="1" applyAlignment="1">
      <alignment horizontal="center" vertical="center"/>
    </xf>
    <xf numFmtId="0" fontId="23" fillId="15" borderId="75" xfId="15" applyFont="1" applyFill="1" applyBorder="1" applyAlignment="1">
      <alignment horizontal="center" vertical="center"/>
    </xf>
    <xf numFmtId="0" fontId="23" fillId="15" borderId="66" xfId="15" applyFont="1" applyFill="1" applyBorder="1" applyAlignment="1">
      <alignment horizontal="center" vertical="center"/>
    </xf>
    <xf numFmtId="0" fontId="23" fillId="15" borderId="12" xfId="15" applyFont="1" applyFill="1" applyBorder="1" applyAlignment="1">
      <alignment horizontal="center" vertical="center"/>
    </xf>
    <xf numFmtId="43" fontId="108" fillId="13" borderId="1" xfId="0" applyNumberFormat="1" applyFont="1" applyFill="1" applyBorder="1" applyAlignment="1">
      <alignment horizontal="center" vertical="center"/>
    </xf>
    <xf numFmtId="43" fontId="108" fillId="13" borderId="67" xfId="0" applyNumberFormat="1" applyFont="1" applyFill="1" applyBorder="1" applyAlignment="1">
      <alignment horizontal="center" vertical="center"/>
    </xf>
    <xf numFmtId="43" fontId="108" fillId="13" borderId="68" xfId="0" applyNumberFormat="1" applyFont="1" applyFill="1" applyBorder="1" applyAlignment="1">
      <alignment horizontal="center" vertical="center"/>
    </xf>
    <xf numFmtId="43" fontId="108" fillId="13" borderId="69" xfId="0" applyNumberFormat="1" applyFont="1" applyFill="1" applyBorder="1" applyAlignment="1">
      <alignment horizontal="center" vertical="center"/>
    </xf>
    <xf numFmtId="43" fontId="108" fillId="13" borderId="9" xfId="0" applyNumberFormat="1" applyFont="1" applyFill="1" applyBorder="1" applyAlignment="1">
      <alignment horizontal="center" vertical="center"/>
    </xf>
    <xf numFmtId="43" fontId="108" fillId="13" borderId="10" xfId="0" applyNumberFormat="1" applyFont="1" applyFill="1" applyBorder="1" applyAlignment="1">
      <alignment horizontal="center" vertical="center"/>
    </xf>
    <xf numFmtId="43" fontId="108" fillId="13" borderId="15" xfId="0" applyNumberFormat="1" applyFont="1" applyFill="1" applyBorder="1" applyAlignment="1">
      <alignment horizontal="center" vertical="center"/>
    </xf>
    <xf numFmtId="0" fontId="111" fillId="0" borderId="0" xfId="0" applyNumberFormat="1" applyFont="1" applyAlignment="1">
      <alignment horizontal="center" vertical="center"/>
    </xf>
    <xf numFmtId="43" fontId="108" fillId="13" borderId="66" xfId="0" applyNumberFormat="1" applyFont="1" applyFill="1" applyBorder="1" applyAlignment="1">
      <alignment horizontal="center" vertical="center"/>
    </xf>
    <xf numFmtId="43" fontId="108" fillId="13" borderId="8" xfId="0" applyNumberFormat="1" applyFont="1" applyFill="1" applyBorder="1" applyAlignment="1">
      <alignment horizontal="center" vertical="center"/>
    </xf>
    <xf numFmtId="2" fontId="110" fillId="0" borderId="0" xfId="1" applyNumberFormat="1" applyFont="1" applyAlignment="1" applyProtection="1">
      <alignment horizontal="center"/>
      <protection hidden="1"/>
    </xf>
    <xf numFmtId="0" fontId="109" fillId="0" borderId="0" xfId="0" applyFont="1" applyAlignment="1" applyProtection="1">
      <alignment horizontal="center"/>
      <protection hidden="1"/>
    </xf>
    <xf numFmtId="0" fontId="109" fillId="0" borderId="3" xfId="0" applyFont="1" applyBorder="1" applyAlignment="1">
      <alignment horizontal="center" vertical="center" wrapText="1"/>
    </xf>
    <xf numFmtId="0" fontId="109" fillId="0" borderId="12" xfId="0" applyFont="1" applyBorder="1" applyAlignment="1">
      <alignment horizontal="center" vertical="center" wrapText="1"/>
    </xf>
    <xf numFmtId="0" fontId="109" fillId="0" borderId="8" xfId="0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/>
    </xf>
    <xf numFmtId="0" fontId="109" fillId="0" borderId="16" xfId="0" applyFont="1" applyBorder="1" applyAlignment="1">
      <alignment horizontal="center"/>
    </xf>
    <xf numFmtId="0" fontId="109" fillId="0" borderId="6" xfId="0" applyFont="1" applyBorder="1" applyAlignment="1">
      <alignment horizontal="center"/>
    </xf>
    <xf numFmtId="1" fontId="109" fillId="0" borderId="39" xfId="0" applyNumberFormat="1" applyFont="1" applyFill="1" applyBorder="1" applyAlignment="1">
      <alignment horizontal="center" vertical="center"/>
    </xf>
    <xf numFmtId="1" fontId="109" fillId="0" borderId="41" xfId="0" applyNumberFormat="1" applyFont="1" applyFill="1" applyBorder="1" applyAlignment="1">
      <alignment horizontal="center" vertical="center"/>
    </xf>
    <xf numFmtId="1" fontId="109" fillId="0" borderId="40" xfId="0" applyNumberFormat="1" applyFont="1" applyFill="1" applyBorder="1" applyAlignment="1">
      <alignment horizontal="center" vertical="center"/>
    </xf>
    <xf numFmtId="0" fontId="109" fillId="0" borderId="1" xfId="0" applyFont="1" applyFill="1" applyBorder="1" applyAlignment="1">
      <alignment horizontal="center" vertical="center"/>
    </xf>
    <xf numFmtId="43" fontId="110" fillId="0" borderId="42" xfId="0" applyNumberFormat="1" applyFont="1" applyFill="1" applyBorder="1" applyAlignment="1">
      <alignment horizontal="center" vertical="center"/>
    </xf>
    <xf numFmtId="4" fontId="110" fillId="0" borderId="42" xfId="0" applyNumberFormat="1" applyFont="1" applyFill="1" applyBorder="1" applyAlignment="1">
      <alignment horizontal="center" vertical="center"/>
    </xf>
    <xf numFmtId="0" fontId="109" fillId="0" borderId="1" xfId="0" applyFont="1" applyFill="1" applyBorder="1" applyAlignment="1">
      <alignment horizontal="center" vertical="center" wrapText="1"/>
    </xf>
    <xf numFmtId="0" fontId="109" fillId="0" borderId="3" xfId="0" applyFont="1" applyFill="1" applyBorder="1" applyAlignment="1">
      <alignment horizontal="center" vertical="center" wrapText="1"/>
    </xf>
    <xf numFmtId="0" fontId="109" fillId="0" borderId="12" xfId="0" applyFont="1" applyFill="1" applyBorder="1" applyAlignment="1">
      <alignment horizontal="center" vertical="center" wrapText="1"/>
    </xf>
    <xf numFmtId="0" fontId="109" fillId="0" borderId="3" xfId="0" applyFont="1" applyFill="1" applyBorder="1" applyAlignment="1">
      <alignment horizontal="center" vertical="center"/>
    </xf>
    <xf numFmtId="0" fontId="109" fillId="0" borderId="12" xfId="0" applyFont="1" applyFill="1" applyBorder="1" applyAlignment="1">
      <alignment horizontal="center" vertical="center"/>
    </xf>
    <xf numFmtId="0" fontId="109" fillId="0" borderId="8" xfId="0" applyFont="1" applyFill="1" applyBorder="1" applyAlignment="1">
      <alignment horizontal="center" vertical="center"/>
    </xf>
    <xf numFmtId="0" fontId="130" fillId="0" borderId="3" xfId="0" applyFont="1" applyFill="1" applyBorder="1" applyAlignment="1">
      <alignment horizontal="center" vertical="center" wrapText="1"/>
    </xf>
    <xf numFmtId="0" fontId="130" fillId="0" borderId="12" xfId="0" applyFont="1" applyFill="1" applyBorder="1" applyAlignment="1">
      <alignment horizontal="center" vertical="center" wrapText="1"/>
    </xf>
    <xf numFmtId="4" fontId="109" fillId="0" borderId="1" xfId="0" applyNumberFormat="1" applyFont="1" applyFill="1" applyBorder="1" applyAlignment="1">
      <alignment horizontal="center" vertical="center" wrapText="1"/>
    </xf>
    <xf numFmtId="4" fontId="109" fillId="0" borderId="3" xfId="0" applyNumberFormat="1" applyFont="1" applyFill="1" applyBorder="1" applyAlignment="1">
      <alignment horizontal="center" vertical="center" wrapText="1"/>
    </xf>
    <xf numFmtId="4" fontId="109" fillId="0" borderId="7" xfId="0" applyNumberFormat="1" applyFont="1" applyFill="1" applyBorder="1" applyAlignment="1">
      <alignment horizontal="center" vertical="center"/>
    </xf>
    <xf numFmtId="4" fontId="109" fillId="0" borderId="16" xfId="0" applyNumberFormat="1" applyFont="1" applyFill="1" applyBorder="1" applyAlignment="1">
      <alignment horizontal="center" vertical="center"/>
    </xf>
    <xf numFmtId="4" fontId="109" fillId="0" borderId="6" xfId="0" applyNumberFormat="1" applyFont="1" applyFill="1" applyBorder="1" applyAlignment="1">
      <alignment horizontal="center" vertical="center"/>
    </xf>
    <xf numFmtId="4" fontId="109" fillId="0" borderId="8" xfId="0" applyNumberFormat="1" applyFont="1" applyFill="1" applyBorder="1" applyAlignment="1">
      <alignment horizontal="center" vertical="center" wrapText="1"/>
    </xf>
    <xf numFmtId="0" fontId="109" fillId="0" borderId="1" xfId="0" applyNumberFormat="1" applyFont="1" applyBorder="1" applyAlignment="1">
      <alignment horizontal="center" vertical="center"/>
    </xf>
    <xf numFmtId="0" fontId="123" fillId="0" borderId="4" xfId="0" applyFont="1" applyBorder="1" applyAlignment="1">
      <alignment horizontal="center" vertical="center"/>
    </xf>
    <xf numFmtId="0" fontId="123" fillId="0" borderId="11" xfId="0" applyFont="1" applyBorder="1" applyAlignment="1">
      <alignment horizontal="center" vertical="center"/>
    </xf>
    <xf numFmtId="0" fontId="123" fillId="0" borderId="14" xfId="0" applyFont="1" applyBorder="1" applyAlignment="1">
      <alignment horizontal="center" vertical="center"/>
    </xf>
    <xf numFmtId="0" fontId="123" fillId="0" borderId="13" xfId="0" applyFont="1" applyBorder="1" applyAlignment="1">
      <alignment horizontal="center" vertical="center"/>
    </xf>
    <xf numFmtId="0" fontId="123" fillId="0" borderId="9" xfId="0" applyFont="1" applyBorder="1" applyAlignment="1">
      <alignment horizontal="center" vertical="center"/>
    </xf>
    <xf numFmtId="0" fontId="123" fillId="0" borderId="15" xfId="0" applyFont="1" applyBorder="1" applyAlignment="1">
      <alignment horizontal="center" vertical="center"/>
    </xf>
    <xf numFmtId="0" fontId="109" fillId="0" borderId="4" xfId="0" applyNumberFormat="1" applyFont="1" applyBorder="1" applyAlignment="1">
      <alignment horizontal="center" vertical="center" wrapText="1"/>
    </xf>
    <xf numFmtId="0" fontId="109" fillId="0" borderId="11" xfId="0" applyNumberFormat="1" applyFont="1" applyBorder="1" applyAlignment="1">
      <alignment horizontal="center" vertical="center" wrapText="1"/>
    </xf>
    <xf numFmtId="0" fontId="109" fillId="0" borderId="9" xfId="0" applyNumberFormat="1" applyFont="1" applyBorder="1" applyAlignment="1">
      <alignment horizontal="center" vertical="center" wrapText="1"/>
    </xf>
    <xf numFmtId="0" fontId="109" fillId="0" borderId="15" xfId="0" applyNumberFormat="1" applyFont="1" applyBorder="1" applyAlignment="1">
      <alignment horizontal="center" vertical="center" wrapText="1"/>
    </xf>
    <xf numFmtId="0" fontId="130" fillId="0" borderId="4" xfId="0" applyNumberFormat="1" applyFont="1" applyBorder="1" applyAlignment="1">
      <alignment horizontal="center" vertical="center" wrapText="1"/>
    </xf>
    <xf numFmtId="0" fontId="130" fillId="0" borderId="11" xfId="0" applyNumberFormat="1" applyFont="1" applyBorder="1" applyAlignment="1">
      <alignment horizontal="center" vertical="center" wrapText="1"/>
    </xf>
    <xf numFmtId="0" fontId="130" fillId="0" borderId="14" xfId="0" applyNumberFormat="1" applyFont="1" applyBorder="1" applyAlignment="1">
      <alignment horizontal="center" vertical="center" wrapText="1"/>
    </xf>
    <xf numFmtId="0" fontId="130" fillId="0" borderId="13" xfId="0" applyNumberFormat="1" applyFont="1" applyBorder="1" applyAlignment="1">
      <alignment horizontal="center" vertical="center" wrapText="1"/>
    </xf>
    <xf numFmtId="0" fontId="130" fillId="0" borderId="9" xfId="0" applyNumberFormat="1" applyFont="1" applyBorder="1" applyAlignment="1">
      <alignment horizontal="center" vertical="center" wrapText="1"/>
    </xf>
    <xf numFmtId="0" fontId="130" fillId="0" borderId="15" xfId="0" applyNumberFormat="1" applyFont="1" applyBorder="1" applyAlignment="1">
      <alignment horizontal="center" vertical="center" wrapText="1"/>
    </xf>
    <xf numFmtId="192" fontId="109" fillId="0" borderId="40" xfId="0" applyNumberFormat="1" applyFont="1" applyFill="1" applyBorder="1" applyAlignment="1"/>
    <xf numFmtId="0" fontId="109" fillId="0" borderId="39" xfId="0" applyNumberFormat="1" applyFont="1" applyBorder="1" applyAlignment="1">
      <alignment horizontal="center" vertical="top"/>
    </xf>
    <xf numFmtId="0" fontId="109" fillId="0" borderId="41" xfId="0" applyNumberFormat="1" applyFont="1" applyBorder="1" applyAlignment="1">
      <alignment horizontal="center" vertical="top"/>
    </xf>
    <xf numFmtId="43" fontId="110" fillId="0" borderId="39" xfId="0" applyNumberFormat="1" applyFont="1" applyFill="1" applyBorder="1" applyAlignment="1">
      <alignment horizontal="center"/>
    </xf>
    <xf numFmtId="43" fontId="110" fillId="0" borderId="41" xfId="0" applyNumberFormat="1" applyFont="1" applyFill="1" applyBorder="1" applyAlignment="1">
      <alignment horizontal="center"/>
    </xf>
    <xf numFmtId="192" fontId="109" fillId="0" borderId="41" xfId="0" applyNumberFormat="1" applyFont="1" applyFill="1" applyBorder="1" applyAlignment="1">
      <alignment horizontal="center"/>
    </xf>
    <xf numFmtId="0" fontId="109" fillId="0" borderId="22" xfId="0" applyNumberFormat="1" applyFont="1" applyBorder="1" applyAlignment="1">
      <alignment horizontal="center" vertical="top"/>
    </xf>
    <xf numFmtId="0" fontId="109" fillId="0" borderId="23" xfId="0" applyNumberFormat="1" applyFont="1" applyBorder="1" applyAlignment="1">
      <alignment horizontal="center" vertical="top"/>
    </xf>
    <xf numFmtId="0" fontId="109" fillId="0" borderId="24" xfId="0" applyNumberFormat="1" applyFont="1" applyBorder="1" applyAlignment="1">
      <alignment horizontal="center" vertical="top"/>
    </xf>
    <xf numFmtId="0" fontId="109" fillId="0" borderId="25" xfId="0" applyNumberFormat="1" applyFont="1" applyBorder="1" applyAlignment="1">
      <alignment horizontal="center" vertical="top"/>
    </xf>
    <xf numFmtId="43" fontId="110" fillId="0" borderId="40" xfId="0" applyNumberFormat="1" applyFont="1" applyFill="1" applyBorder="1" applyAlignment="1">
      <alignment horizontal="center"/>
    </xf>
    <xf numFmtId="0" fontId="109" fillId="0" borderId="40" xfId="0" applyNumberFormat="1" applyFont="1" applyBorder="1" applyAlignment="1">
      <alignment horizontal="center" vertical="top"/>
    </xf>
    <xf numFmtId="192" fontId="109" fillId="0" borderId="41" xfId="0" applyNumberFormat="1" applyFont="1" applyFill="1" applyBorder="1" applyAlignment="1"/>
    <xf numFmtId="192" fontId="109" fillId="0" borderId="22" xfId="0" applyNumberFormat="1" applyFont="1" applyFill="1" applyBorder="1" applyAlignment="1">
      <alignment horizontal="center"/>
    </xf>
    <xf numFmtId="192" fontId="109" fillId="0" borderId="23" xfId="0" applyNumberFormat="1" applyFont="1" applyFill="1" applyBorder="1" applyAlignment="1">
      <alignment horizontal="center"/>
    </xf>
    <xf numFmtId="0" fontId="109" fillId="0" borderId="3" xfId="0" applyNumberFormat="1" applyFont="1" applyBorder="1" applyAlignment="1">
      <alignment horizontal="center" vertical="center"/>
    </xf>
    <xf numFmtId="0" fontId="109" fillId="0" borderId="12" xfId="0" applyNumberFormat="1" applyFont="1" applyBorder="1" applyAlignment="1">
      <alignment horizontal="center" vertical="center"/>
    </xf>
    <xf numFmtId="0" fontId="109" fillId="0" borderId="8" xfId="0" applyNumberFormat="1" applyFont="1" applyBorder="1" applyAlignment="1">
      <alignment horizontal="center" vertical="center"/>
    </xf>
    <xf numFmtId="0" fontId="109" fillId="0" borderId="1" xfId="0" applyFont="1" applyFill="1" applyBorder="1" applyAlignment="1">
      <alignment horizontal="center"/>
    </xf>
    <xf numFmtId="0" fontId="109" fillId="0" borderId="3" xfId="0" applyNumberFormat="1" applyFont="1" applyBorder="1" applyAlignment="1">
      <alignment horizontal="center" vertical="center" wrapText="1"/>
    </xf>
    <xf numFmtId="0" fontId="109" fillId="0" borderId="12" xfId="0" applyNumberFormat="1" applyFont="1" applyBorder="1" applyAlignment="1">
      <alignment horizontal="center" vertical="center" wrapText="1"/>
    </xf>
    <xf numFmtId="0" fontId="109" fillId="0" borderId="1" xfId="0" applyNumberFormat="1" applyFont="1" applyBorder="1" applyAlignment="1">
      <alignment horizontal="center" vertical="center" wrapText="1"/>
    </xf>
    <xf numFmtId="0" fontId="129" fillId="0" borderId="1" xfId="0" applyNumberFormat="1" applyFont="1" applyBorder="1" applyAlignment="1">
      <alignment horizontal="center" vertical="center" wrapText="1"/>
    </xf>
    <xf numFmtId="0" fontId="109" fillId="0" borderId="8" xfId="0" applyNumberFormat="1" applyFont="1" applyBorder="1" applyAlignment="1">
      <alignment horizontal="center" vertical="center" wrapText="1"/>
    </xf>
    <xf numFmtId="0" fontId="109" fillId="0" borderId="0" xfId="0" applyFont="1" applyFill="1" applyAlignment="1" applyProtection="1">
      <alignment horizontal="left"/>
      <protection hidden="1"/>
    </xf>
    <xf numFmtId="0" fontId="110" fillId="0" borderId="0" xfId="0" applyFont="1" applyFill="1" applyAlignment="1">
      <alignment horizontal="center"/>
    </xf>
    <xf numFmtId="0" fontId="109" fillId="0" borderId="0" xfId="0" applyFont="1" applyFill="1" applyAlignment="1" applyProtection="1">
      <alignment horizontal="center"/>
      <protection hidden="1"/>
    </xf>
    <xf numFmtId="0" fontId="109" fillId="0" borderId="41" xfId="0" applyNumberFormat="1" applyFont="1" applyBorder="1" applyAlignment="1">
      <alignment horizontal="center"/>
    </xf>
    <xf numFmtId="0" fontId="109" fillId="0" borderId="41" xfId="0" applyNumberFormat="1" applyFont="1" applyBorder="1" applyAlignment="1">
      <alignment horizontal="left" vertical="top"/>
    </xf>
    <xf numFmtId="0" fontId="109" fillId="0" borderId="40" xfId="0" applyNumberFormat="1" applyFont="1" applyBorder="1" applyAlignment="1">
      <alignment horizontal="left" vertical="top"/>
    </xf>
    <xf numFmtId="39" fontId="109" fillId="0" borderId="0" xfId="0" applyNumberFormat="1" applyFont="1" applyAlignment="1" applyProtection="1">
      <alignment horizontal="right"/>
    </xf>
    <xf numFmtId="0" fontId="109" fillId="0" borderId="39" xfId="0" applyNumberFormat="1" applyFont="1" applyBorder="1" applyAlignment="1">
      <alignment horizontal="center"/>
    </xf>
    <xf numFmtId="191" fontId="109" fillId="0" borderId="1" xfId="0" applyNumberFormat="1" applyFont="1" applyBorder="1" applyAlignment="1">
      <alignment horizontal="center"/>
    </xf>
    <xf numFmtId="4" fontId="109" fillId="0" borderId="1" xfId="0" applyNumberFormat="1" applyFont="1" applyBorder="1" applyAlignment="1">
      <alignment horizontal="center"/>
    </xf>
    <xf numFmtId="43" fontId="109" fillId="0" borderId="1" xfId="0" applyNumberFormat="1" applyFont="1" applyBorder="1" applyAlignment="1">
      <alignment horizontal="center"/>
    </xf>
    <xf numFmtId="9" fontId="109" fillId="0" borderId="1" xfId="0" applyNumberFormat="1" applyFont="1" applyBorder="1" applyAlignment="1">
      <alignment horizontal="center"/>
    </xf>
    <xf numFmtId="0" fontId="109" fillId="0" borderId="40" xfId="0" applyNumberFormat="1" applyFont="1" applyBorder="1" applyAlignment="1">
      <alignment horizontal="center"/>
    </xf>
    <xf numFmtId="0" fontId="109" fillId="0" borderId="39" xfId="0" applyNumberFormat="1" applyFont="1" applyBorder="1" applyAlignment="1">
      <alignment horizontal="left" vertical="top"/>
    </xf>
    <xf numFmtId="0" fontId="109" fillId="0" borderId="42" xfId="0" applyNumberFormat="1" applyFont="1" applyBorder="1" applyAlignment="1">
      <alignment horizontal="center" vertical="top"/>
    </xf>
    <xf numFmtId="0" fontId="110" fillId="0" borderId="20" xfId="0" applyNumberFormat="1" applyFont="1" applyBorder="1" applyAlignment="1">
      <alignment horizontal="center" vertical="top"/>
    </xf>
    <xf numFmtId="0" fontId="110" fillId="0" borderId="21" xfId="0" applyNumberFormat="1" applyFont="1" applyBorder="1" applyAlignment="1">
      <alignment horizontal="center" vertical="top"/>
    </xf>
    <xf numFmtId="0" fontId="110" fillId="0" borderId="22" xfId="0" applyNumberFormat="1" applyFont="1" applyBorder="1" applyAlignment="1">
      <alignment horizontal="center" vertical="top"/>
    </xf>
    <xf numFmtId="0" fontId="110" fillId="0" borderId="23" xfId="0" applyNumberFormat="1" applyFont="1" applyBorder="1" applyAlignment="1">
      <alignment horizontal="center" vertical="top"/>
    </xf>
    <xf numFmtId="0" fontId="110" fillId="0" borderId="24" xfId="0" applyNumberFormat="1" applyFont="1" applyBorder="1" applyAlignment="1">
      <alignment horizontal="center" vertical="top"/>
    </xf>
    <xf numFmtId="0" fontId="110" fillId="0" borderId="25" xfId="0" applyNumberFormat="1" applyFont="1" applyBorder="1" applyAlignment="1">
      <alignment horizontal="center" vertical="top"/>
    </xf>
    <xf numFmtId="0" fontId="109" fillId="0" borderId="20" xfId="0" applyNumberFormat="1" applyFont="1" applyBorder="1" applyAlignment="1">
      <alignment horizontal="center" vertical="top"/>
    </xf>
    <xf numFmtId="0" fontId="109" fillId="0" borderId="21" xfId="0" applyNumberFormat="1" applyFont="1" applyBorder="1" applyAlignment="1">
      <alignment horizontal="center" vertical="top"/>
    </xf>
    <xf numFmtId="0" fontId="109" fillId="0" borderId="4" xfId="0" applyFont="1" applyFill="1" applyBorder="1" applyAlignment="1">
      <alignment horizontal="center" vertical="center"/>
    </xf>
    <xf numFmtId="0" fontId="109" fillId="0" borderId="5" xfId="0" applyFont="1" applyFill="1" applyBorder="1" applyAlignment="1">
      <alignment horizontal="center" vertical="center"/>
    </xf>
    <xf numFmtId="0" fontId="109" fillId="0" borderId="11" xfId="0" applyFont="1" applyFill="1" applyBorder="1" applyAlignment="1">
      <alignment horizontal="center" vertical="center"/>
    </xf>
    <xf numFmtId="0" fontId="109" fillId="0" borderId="7" xfId="0" applyFont="1" applyFill="1" applyBorder="1" applyAlignment="1">
      <alignment horizontal="left"/>
    </xf>
    <xf numFmtId="0" fontId="109" fillId="0" borderId="16" xfId="0" applyFont="1" applyFill="1" applyBorder="1" applyAlignment="1">
      <alignment horizontal="left"/>
    </xf>
    <xf numFmtId="0" fontId="109" fillId="0" borderId="6" xfId="0" applyFont="1" applyFill="1" applyBorder="1" applyAlignment="1">
      <alignment horizontal="left"/>
    </xf>
    <xf numFmtId="0" fontId="110" fillId="0" borderId="41" xfId="0" applyNumberFormat="1" applyFont="1" applyBorder="1" applyAlignment="1">
      <alignment horizontal="center" vertical="center"/>
    </xf>
    <xf numFmtId="0" fontId="110" fillId="0" borderId="40" xfId="0" applyNumberFormat="1" applyFont="1" applyBorder="1" applyAlignment="1">
      <alignment horizontal="center" vertical="center"/>
    </xf>
    <xf numFmtId="0" fontId="110" fillId="0" borderId="22" xfId="0" applyNumberFormat="1" applyFont="1" applyBorder="1" applyAlignment="1">
      <alignment horizontal="center" vertical="center"/>
    </xf>
    <xf numFmtId="0" fontId="110" fillId="0" borderId="23" xfId="0" applyNumberFormat="1" applyFont="1" applyBorder="1" applyAlignment="1">
      <alignment horizontal="center" vertical="center"/>
    </xf>
    <xf numFmtId="0" fontId="110" fillId="0" borderId="24" xfId="0" applyNumberFormat="1" applyFont="1" applyBorder="1" applyAlignment="1">
      <alignment horizontal="center" vertical="center"/>
    </xf>
    <xf numFmtId="0" fontId="110" fillId="0" borderId="25" xfId="0" applyNumberFormat="1" applyFont="1" applyBorder="1" applyAlignment="1">
      <alignment horizontal="center" vertical="center"/>
    </xf>
    <xf numFmtId="0" fontId="109" fillId="0" borderId="7" xfId="0" applyFont="1" applyFill="1" applyBorder="1" applyAlignment="1">
      <alignment horizontal="center"/>
    </xf>
    <xf numFmtId="0" fontId="109" fillId="0" borderId="16" xfId="0" applyFont="1" applyFill="1" applyBorder="1" applyAlignment="1">
      <alignment horizontal="center"/>
    </xf>
    <xf numFmtId="0" fontId="109" fillId="0" borderId="6" xfId="0" applyFont="1" applyFill="1" applyBorder="1" applyAlignment="1">
      <alignment horizontal="center"/>
    </xf>
    <xf numFmtId="4" fontId="109" fillId="0" borderId="1" xfId="0" applyNumberFormat="1" applyFont="1" applyFill="1" applyBorder="1" applyAlignment="1">
      <alignment horizontal="center" vertical="center"/>
    </xf>
    <xf numFmtId="0" fontId="109" fillId="0" borderId="66" xfId="0" applyFont="1" applyFill="1" applyBorder="1" applyAlignment="1">
      <alignment horizontal="center" vertical="center"/>
    </xf>
    <xf numFmtId="0" fontId="109" fillId="0" borderId="67" xfId="0" applyFont="1" applyFill="1" applyBorder="1" applyAlignment="1">
      <alignment horizontal="center"/>
    </xf>
    <xf numFmtId="0" fontId="109" fillId="0" borderId="68" xfId="0" applyFont="1" applyFill="1" applyBorder="1" applyAlignment="1">
      <alignment horizontal="center"/>
    </xf>
    <xf numFmtId="0" fontId="109" fillId="0" borderId="69" xfId="0" applyFont="1" applyFill="1" applyBorder="1" applyAlignment="1">
      <alignment horizontal="center"/>
    </xf>
    <xf numFmtId="0" fontId="109" fillId="0" borderId="1" xfId="0" quotePrefix="1" applyFont="1" applyFill="1" applyBorder="1" applyAlignment="1">
      <alignment horizontal="center" vertical="center"/>
    </xf>
    <xf numFmtId="0" fontId="122" fillId="0" borderId="0" xfId="175" applyFont="1" applyFill="1" applyAlignment="1">
      <alignment horizontal="center"/>
    </xf>
    <xf numFmtId="187" fontId="4" fillId="3" borderId="1" xfId="4" applyNumberFormat="1" applyFont="1" applyFill="1" applyBorder="1" applyAlignment="1" applyProtection="1">
      <alignment horizontal="center" vertical="center"/>
    </xf>
    <xf numFmtId="187" fontId="4" fillId="3" borderId="45" xfId="4" applyNumberFormat="1" applyFont="1" applyFill="1" applyBorder="1" applyAlignment="1" applyProtection="1">
      <alignment horizontal="center" vertical="center"/>
    </xf>
    <xf numFmtId="187" fontId="4" fillId="3" borderId="44" xfId="4" quotePrefix="1" applyNumberFormat="1" applyFont="1" applyFill="1" applyBorder="1" applyAlignment="1" applyProtection="1">
      <alignment horizontal="center" vertical="center" wrapText="1"/>
    </xf>
    <xf numFmtId="187" fontId="4" fillId="3" borderId="44" xfId="4" applyNumberFormat="1" applyFont="1" applyFill="1" applyBorder="1" applyAlignment="1" applyProtection="1">
      <alignment horizontal="center" vertical="center" wrapText="1"/>
    </xf>
    <xf numFmtId="187" fontId="5" fillId="0" borderId="0" xfId="4" applyNumberFormat="1" applyFont="1" applyAlignment="1" applyProtection="1">
      <alignment horizontal="center"/>
    </xf>
    <xf numFmtId="0" fontId="4" fillId="0" borderId="1" xfId="4" applyNumberFormat="1" applyFont="1" applyBorder="1" applyAlignment="1">
      <alignment horizontal="center" vertical="center"/>
    </xf>
    <xf numFmtId="187" fontId="4" fillId="0" borderId="1" xfId="4" applyNumberFormat="1" applyFont="1" applyBorder="1" applyAlignment="1">
      <alignment horizontal="center" vertical="center"/>
    </xf>
    <xf numFmtId="187" fontId="4" fillId="0" borderId="7" xfId="4" applyNumberFormat="1" applyFont="1" applyBorder="1" applyAlignment="1">
      <alignment horizontal="center" vertical="center"/>
    </xf>
    <xf numFmtId="187" fontId="4" fillId="0" borderId="1" xfId="4" applyNumberFormat="1" applyFont="1" applyBorder="1" applyAlignment="1" applyProtection="1">
      <alignment horizontal="center" vertical="center"/>
    </xf>
    <xf numFmtId="187" fontId="4" fillId="0" borderId="1" xfId="4" quotePrefix="1" applyNumberFormat="1" applyFont="1" applyBorder="1" applyAlignment="1" applyProtection="1">
      <alignment horizontal="center" vertical="center" wrapText="1"/>
    </xf>
    <xf numFmtId="187" fontId="4" fillId="0" borderId="1" xfId="4" applyNumberFormat="1" applyFont="1" applyBorder="1" applyAlignment="1" applyProtection="1">
      <alignment horizontal="center" vertical="center" wrapText="1"/>
    </xf>
    <xf numFmtId="187" fontId="4" fillId="0" borderId="44" xfId="4" quotePrefix="1" applyNumberFormat="1" applyFont="1" applyBorder="1" applyAlignment="1" applyProtection="1">
      <alignment horizontal="center" vertical="center" wrapText="1"/>
    </xf>
    <xf numFmtId="187" fontId="4" fillId="0" borderId="44" xfId="4" applyNumberFormat="1" applyFont="1" applyBorder="1" applyAlignment="1" applyProtection="1">
      <alignment horizontal="center" vertical="center" wrapText="1"/>
    </xf>
    <xf numFmtId="187" fontId="4" fillId="0" borderId="45" xfId="4" applyNumberFormat="1" applyFont="1" applyBorder="1" applyAlignment="1" applyProtection="1">
      <alignment horizontal="center" vertical="center"/>
    </xf>
    <xf numFmtId="187" fontId="109" fillId="3" borderId="1" xfId="4" applyNumberFormat="1" applyFont="1" applyFill="1" applyBorder="1" applyAlignment="1" applyProtection="1">
      <alignment horizontal="center" vertical="center"/>
    </xf>
    <xf numFmtId="187" fontId="109" fillId="3" borderId="45" xfId="4" applyNumberFormat="1" applyFont="1" applyFill="1" applyBorder="1" applyAlignment="1" applyProtection="1">
      <alignment horizontal="center" vertical="center"/>
    </xf>
    <xf numFmtId="187" fontId="109" fillId="10" borderId="44" xfId="4" quotePrefix="1" applyNumberFormat="1" applyFont="1" applyFill="1" applyBorder="1" applyAlignment="1" applyProtection="1">
      <alignment horizontal="center" vertical="center" wrapText="1"/>
    </xf>
    <xf numFmtId="187" fontId="109" fillId="10" borderId="44" xfId="4" applyNumberFormat="1" applyFont="1" applyFill="1" applyBorder="1" applyAlignment="1" applyProtection="1">
      <alignment horizontal="center" vertical="center" wrapText="1"/>
    </xf>
    <xf numFmtId="187" fontId="109" fillId="10" borderId="1" xfId="4" applyNumberFormat="1" applyFont="1" applyFill="1" applyBorder="1" applyAlignment="1" applyProtection="1">
      <alignment horizontal="center" vertical="center"/>
    </xf>
    <xf numFmtId="187" fontId="109" fillId="10" borderId="45" xfId="4" applyNumberFormat="1" applyFont="1" applyFill="1" applyBorder="1" applyAlignment="1" applyProtection="1">
      <alignment horizontal="center" vertical="center"/>
    </xf>
    <xf numFmtId="187" fontId="109" fillId="3" borderId="44" xfId="4" quotePrefix="1" applyNumberFormat="1" applyFont="1" applyFill="1" applyBorder="1" applyAlignment="1" applyProtection="1">
      <alignment horizontal="center" vertical="center" wrapText="1"/>
    </xf>
    <xf numFmtId="187" fontId="109" fillId="3" borderId="44" xfId="4" applyNumberFormat="1" applyFont="1" applyFill="1" applyBorder="1" applyAlignment="1" applyProtection="1">
      <alignment horizontal="center" vertical="center" wrapText="1"/>
    </xf>
    <xf numFmtId="0" fontId="5" fillId="0" borderId="1" xfId="7" applyFont="1" applyFill="1" applyBorder="1" applyAlignment="1">
      <alignment horizontal="center"/>
    </xf>
    <xf numFmtId="0" fontId="5" fillId="3" borderId="1" xfId="7" applyFont="1" applyFill="1" applyBorder="1" applyAlignment="1">
      <alignment horizontal="center"/>
    </xf>
    <xf numFmtId="187" fontId="5" fillId="0" borderId="0" xfId="7" applyNumberFormat="1" applyFont="1" applyFill="1" applyAlignment="1">
      <alignment horizontal="center"/>
    </xf>
    <xf numFmtId="0" fontId="5" fillId="0" borderId="0" xfId="7" applyFont="1" applyFill="1" applyAlignment="1">
      <alignment horizontal="center"/>
    </xf>
    <xf numFmtId="0" fontId="122" fillId="3" borderId="1" xfId="7" applyFont="1" applyFill="1" applyBorder="1" applyAlignment="1">
      <alignment horizontal="center"/>
    </xf>
    <xf numFmtId="0" fontId="4" fillId="0" borderId="3" xfId="9" applyFont="1" applyBorder="1" applyAlignment="1">
      <alignment horizontal="center" vertical="center" wrapText="1"/>
    </xf>
    <xf numFmtId="0" fontId="4" fillId="0" borderId="8" xfId="9" applyFont="1" applyBorder="1" applyAlignment="1">
      <alignment horizontal="center" vertical="center" wrapText="1"/>
    </xf>
    <xf numFmtId="0" fontId="4" fillId="0" borderId="12" xfId="9" applyFont="1" applyBorder="1" applyAlignment="1">
      <alignment horizontal="center" vertical="center" wrapText="1"/>
    </xf>
    <xf numFmtId="2" fontId="4" fillId="0" borderId="4" xfId="9" applyNumberFormat="1" applyFont="1" applyBorder="1" applyAlignment="1">
      <alignment horizontal="center" vertical="center"/>
    </xf>
    <xf numFmtId="2" fontId="4" fillId="0" borderId="14" xfId="9" applyNumberFormat="1" applyFont="1" applyBorder="1" applyAlignment="1">
      <alignment horizontal="center" vertical="center"/>
    </xf>
    <xf numFmtId="2" fontId="4" fillId="0" borderId="9" xfId="9" applyNumberFormat="1" applyFont="1" applyBorder="1" applyAlignment="1">
      <alignment horizontal="center" vertical="center"/>
    </xf>
    <xf numFmtId="0" fontId="4" fillId="0" borderId="5" xfId="9" applyFont="1" applyBorder="1" applyAlignment="1">
      <alignment horizontal="center" vertical="center"/>
    </xf>
    <xf numFmtId="0" fontId="4" fillId="0" borderId="0" xfId="9" applyFont="1" applyBorder="1" applyAlignment="1">
      <alignment horizontal="center" vertical="center"/>
    </xf>
    <xf numFmtId="0" fontId="4" fillId="0" borderId="10" xfId="9" applyFont="1" applyBorder="1" applyAlignment="1">
      <alignment horizontal="center" vertical="center"/>
    </xf>
    <xf numFmtId="0" fontId="4" fillId="0" borderId="11" xfId="9" applyFont="1" applyBorder="1" applyAlignment="1">
      <alignment horizontal="center" vertical="center"/>
    </xf>
    <xf numFmtId="0" fontId="4" fillId="0" borderId="13" xfId="9" applyFont="1" applyBorder="1" applyAlignment="1">
      <alignment horizontal="center" vertical="center"/>
    </xf>
    <xf numFmtId="0" fontId="4" fillId="0" borderId="15" xfId="9" applyFont="1" applyBorder="1" applyAlignment="1">
      <alignment horizontal="center" vertical="center"/>
    </xf>
    <xf numFmtId="0" fontId="4" fillId="0" borderId="4" xfId="9" applyFont="1" applyBorder="1" applyAlignment="1">
      <alignment horizontal="center" vertical="center" wrapText="1"/>
    </xf>
    <xf numFmtId="0" fontId="4" fillId="0" borderId="9" xfId="9" applyFont="1" applyBorder="1" applyAlignment="1">
      <alignment horizontal="center" vertical="center" wrapText="1"/>
    </xf>
    <xf numFmtId="0" fontId="4" fillId="0" borderId="0" xfId="9" applyFont="1" applyAlignment="1">
      <alignment horizontal="center"/>
    </xf>
    <xf numFmtId="0" fontId="11" fillId="0" borderId="0" xfId="9" applyFont="1" applyBorder="1" applyAlignment="1">
      <alignment horizontal="center" vertical="center"/>
    </xf>
    <xf numFmtId="0" fontId="91" fillId="4" borderId="20" xfId="9" applyFont="1" applyFill="1" applyBorder="1" applyAlignment="1">
      <alignment horizontal="center" vertical="top"/>
    </xf>
    <xf numFmtId="0" fontId="91" fillId="4" borderId="26" xfId="9" applyFont="1" applyFill="1" applyBorder="1" applyAlignment="1">
      <alignment horizontal="center" vertical="top"/>
    </xf>
    <xf numFmtId="0" fontId="91" fillId="4" borderId="27" xfId="9" applyFont="1" applyFill="1" applyBorder="1" applyAlignment="1">
      <alignment horizontal="center" vertical="top"/>
    </xf>
    <xf numFmtId="0" fontId="91" fillId="4" borderId="28" xfId="9" applyFont="1" applyFill="1" applyBorder="1" applyAlignment="1">
      <alignment horizontal="center" vertical="top"/>
    </xf>
    <xf numFmtId="0" fontId="91" fillId="4" borderId="22" xfId="9" applyFont="1" applyFill="1" applyBorder="1" applyAlignment="1">
      <alignment horizontal="center" vertical="top"/>
    </xf>
    <xf numFmtId="0" fontId="91" fillId="4" borderId="13" xfId="9" applyFont="1" applyFill="1" applyBorder="1" applyAlignment="1">
      <alignment horizontal="center" vertical="top"/>
    </xf>
    <xf numFmtId="0" fontId="91" fillId="4" borderId="9" xfId="9" applyFont="1" applyFill="1" applyBorder="1" applyAlignment="1">
      <alignment horizontal="center"/>
    </xf>
    <xf numFmtId="0" fontId="91" fillId="4" borderId="10" xfId="9" applyFont="1" applyFill="1" applyBorder="1" applyAlignment="1">
      <alignment horizontal="center"/>
    </xf>
    <xf numFmtId="0" fontId="91" fillId="4" borderId="15" xfId="9" applyFont="1" applyFill="1" applyBorder="1" applyAlignment="1">
      <alignment horizontal="center"/>
    </xf>
    <xf numFmtId="0" fontId="13" fillId="4" borderId="14" xfId="9" applyFont="1" applyFill="1" applyBorder="1" applyAlignment="1">
      <alignment horizontal="center" vertical="center"/>
    </xf>
    <xf numFmtId="0" fontId="13" fillId="4" borderId="13" xfId="9" applyFont="1" applyFill="1" applyBorder="1" applyAlignment="1">
      <alignment horizontal="center" vertical="center"/>
    </xf>
    <xf numFmtId="0" fontId="91" fillId="4" borderId="14" xfId="9" applyFont="1" applyFill="1" applyBorder="1" applyAlignment="1">
      <alignment horizontal="center" vertical="center"/>
    </xf>
    <xf numFmtId="0" fontId="91" fillId="4" borderId="13" xfId="9" applyFont="1" applyFill="1" applyBorder="1" applyAlignment="1">
      <alignment horizontal="center" vertical="center"/>
    </xf>
    <xf numFmtId="0" fontId="91" fillId="4" borderId="24" xfId="9" applyFont="1" applyFill="1" applyBorder="1" applyAlignment="1">
      <alignment horizontal="center" vertical="top"/>
    </xf>
    <xf numFmtId="0" fontId="91" fillId="4" borderId="32" xfId="9" applyFont="1" applyFill="1" applyBorder="1" applyAlignment="1">
      <alignment horizontal="center" vertical="top"/>
    </xf>
    <xf numFmtId="0" fontId="91" fillId="4" borderId="34" xfId="9" applyFont="1" applyFill="1" applyBorder="1" applyAlignment="1">
      <alignment horizontal="center" vertical="top"/>
    </xf>
    <xf numFmtId="0" fontId="98" fillId="7" borderId="5" xfId="9" applyFont="1" applyFill="1" applyBorder="1" applyAlignment="1">
      <alignment horizontal="center" vertical="top"/>
    </xf>
    <xf numFmtId="0" fontId="98" fillId="7" borderId="11" xfId="9" applyFont="1" applyFill="1" applyBorder="1" applyAlignment="1">
      <alignment horizontal="center" vertical="top"/>
    </xf>
    <xf numFmtId="0" fontId="83" fillId="0" borderId="0" xfId="9" applyFont="1" applyAlignment="1">
      <alignment horizontal="center" vertical="top"/>
    </xf>
    <xf numFmtId="0" fontId="14" fillId="0" borderId="0" xfId="9" applyFont="1" applyBorder="1" applyAlignment="1">
      <alignment horizontal="center" vertical="top"/>
    </xf>
    <xf numFmtId="0" fontId="2" fillId="6" borderId="20" xfId="9" applyFont="1" applyFill="1" applyBorder="1" applyAlignment="1">
      <alignment horizontal="center" vertical="top"/>
    </xf>
    <xf numFmtId="0" fontId="2" fillId="6" borderId="26" xfId="9" applyFont="1" applyFill="1" applyBorder="1" applyAlignment="1">
      <alignment horizontal="center" vertical="top"/>
    </xf>
    <xf numFmtId="0" fontId="2" fillId="6" borderId="27" xfId="9" applyFont="1" applyFill="1" applyBorder="1" applyAlignment="1">
      <alignment horizontal="center" vertical="top"/>
    </xf>
    <xf numFmtId="0" fontId="2" fillId="6" borderId="28" xfId="9" applyFont="1" applyFill="1" applyBorder="1" applyAlignment="1">
      <alignment horizontal="center" vertical="top"/>
    </xf>
    <xf numFmtId="0" fontId="2" fillId="6" borderId="21" xfId="9" applyFont="1" applyFill="1" applyBorder="1" applyAlignment="1">
      <alignment horizontal="center" vertical="top"/>
    </xf>
    <xf numFmtId="0" fontId="98" fillId="0" borderId="0" xfId="9" applyFont="1" applyBorder="1" applyAlignment="1">
      <alignment horizontal="center"/>
    </xf>
    <xf numFmtId="0" fontId="2" fillId="6" borderId="22" xfId="9" applyFont="1" applyFill="1" applyBorder="1" applyAlignment="1">
      <alignment horizontal="center" vertical="top"/>
    </xf>
    <xf numFmtId="0" fontId="2" fillId="6" borderId="13" xfId="9" applyFont="1" applyFill="1" applyBorder="1" applyAlignment="1">
      <alignment horizontal="center" vertical="top"/>
    </xf>
    <xf numFmtId="0" fontId="2" fillId="6" borderId="9" xfId="9" applyFont="1" applyFill="1" applyBorder="1" applyAlignment="1">
      <alignment horizontal="center" vertical="top"/>
    </xf>
    <xf numFmtId="0" fontId="2" fillId="6" borderId="10" xfId="9" applyFont="1" applyFill="1" applyBorder="1" applyAlignment="1">
      <alignment horizontal="center" vertical="top"/>
    </xf>
    <xf numFmtId="0" fontId="2" fillId="6" borderId="15" xfId="9" applyFont="1" applyFill="1" applyBorder="1" applyAlignment="1">
      <alignment horizontal="center" vertical="top"/>
    </xf>
    <xf numFmtId="0" fontId="15" fillId="6" borderId="14" xfId="9" applyFont="1" applyFill="1" applyBorder="1" applyAlignment="1">
      <alignment horizontal="center" vertical="center"/>
    </xf>
    <xf numFmtId="0" fontId="15" fillId="6" borderId="0" xfId="9" applyFont="1" applyFill="1" applyBorder="1" applyAlignment="1">
      <alignment horizontal="center" vertical="center"/>
    </xf>
    <xf numFmtId="0" fontId="15" fillId="6" borderId="23" xfId="9" applyFont="1" applyFill="1" applyBorder="1" applyAlignment="1">
      <alignment horizontal="center" vertical="center"/>
    </xf>
    <xf numFmtId="0" fontId="2" fillId="7" borderId="0" xfId="9" applyFont="1" applyFill="1" applyBorder="1" applyAlignment="1">
      <alignment horizontal="center" vertical="center"/>
    </xf>
    <xf numFmtId="0" fontId="2" fillId="7" borderId="13" xfId="9" applyFont="1" applyFill="1" applyBorder="1" applyAlignment="1">
      <alignment horizontal="center" vertical="center"/>
    </xf>
    <xf numFmtId="0" fontId="4" fillId="7" borderId="0" xfId="9" applyFont="1" applyFill="1" applyBorder="1" applyAlignment="1">
      <alignment horizontal="center" vertical="center"/>
    </xf>
    <xf numFmtId="0" fontId="4" fillId="7" borderId="13" xfId="9" applyFont="1" applyFill="1" applyBorder="1" applyAlignment="1">
      <alignment horizontal="center" vertical="center"/>
    </xf>
    <xf numFmtId="0" fontId="2" fillId="6" borderId="24" xfId="9" applyFont="1" applyFill="1" applyBorder="1" applyAlignment="1">
      <alignment horizontal="center" vertical="top"/>
    </xf>
    <xf numFmtId="0" fontId="2" fillId="6" borderId="32" xfId="9" applyFont="1" applyFill="1" applyBorder="1" applyAlignment="1">
      <alignment horizontal="center" vertical="top"/>
    </xf>
    <xf numFmtId="0" fontId="2" fillId="6" borderId="35" xfId="9" applyFont="1" applyFill="1" applyBorder="1" applyAlignment="1">
      <alignment horizontal="center" vertical="top"/>
    </xf>
    <xf numFmtId="0" fontId="2" fillId="6" borderId="25" xfId="9" applyFont="1" applyFill="1" applyBorder="1" applyAlignment="1">
      <alignment horizontal="center" vertical="top"/>
    </xf>
    <xf numFmtId="0" fontId="98" fillId="7" borderId="10" xfId="9" applyFont="1" applyFill="1" applyBorder="1" applyAlignment="1">
      <alignment horizontal="center" vertical="top"/>
    </xf>
    <xf numFmtId="0" fontId="98" fillId="7" borderId="15" xfId="9" applyFont="1" applyFill="1" applyBorder="1" applyAlignment="1">
      <alignment horizontal="center" vertical="top"/>
    </xf>
  </cellXfs>
  <cellStyles count="192">
    <cellStyle name=",;F'KOIT[[WAAHK" xfId="19"/>
    <cellStyle name="?? [0.00]_????" xfId="20"/>
    <cellStyle name="?? [0]_PERSONAL" xfId="21"/>
    <cellStyle name="???? [0.00]_????" xfId="22"/>
    <cellStyle name="??????[0]_PERSONAL" xfId="23"/>
    <cellStyle name="??????PERSONAL" xfId="24"/>
    <cellStyle name="?????[0]_PERSONAL" xfId="25"/>
    <cellStyle name="?????PERSONAL" xfId="26"/>
    <cellStyle name="????_????" xfId="27"/>
    <cellStyle name="???[0]_PERSONAL" xfId="28"/>
    <cellStyle name="???_PERSONAL" xfId="29"/>
    <cellStyle name="??_??" xfId="30"/>
    <cellStyle name="?@??laroux" xfId="31"/>
    <cellStyle name="=C:\WINDOWS\SYSTEM32\COMMAND.COM" xfId="32"/>
    <cellStyle name="abc" xfId="33"/>
    <cellStyle name="Accent1" xfId="34"/>
    <cellStyle name="Accent1 - 20%" xfId="35"/>
    <cellStyle name="Accent1 - 40%" xfId="36"/>
    <cellStyle name="Accent1 - 60%" xfId="37"/>
    <cellStyle name="Accent2" xfId="38"/>
    <cellStyle name="Accent2 - 20%" xfId="39"/>
    <cellStyle name="Accent2 - 40%" xfId="40"/>
    <cellStyle name="Accent2 - 60%" xfId="41"/>
    <cellStyle name="Accent3" xfId="42"/>
    <cellStyle name="Accent3 - 20%" xfId="43"/>
    <cellStyle name="Accent3 - 40%" xfId="44"/>
    <cellStyle name="Accent3 - 60%" xfId="45"/>
    <cellStyle name="Accent4" xfId="46"/>
    <cellStyle name="Accent4 - 20%" xfId="47"/>
    <cellStyle name="Accent4 - 40%" xfId="48"/>
    <cellStyle name="Accent4 - 60%" xfId="49"/>
    <cellStyle name="Accent5" xfId="50"/>
    <cellStyle name="Accent5 - 20%" xfId="51"/>
    <cellStyle name="Accent5 - 40%" xfId="52"/>
    <cellStyle name="Accent5 - 60%" xfId="53"/>
    <cellStyle name="Accent6" xfId="54"/>
    <cellStyle name="Accent6 - 20%" xfId="55"/>
    <cellStyle name="Accent6 - 40%" xfId="56"/>
    <cellStyle name="Accent6 - 60%" xfId="57"/>
    <cellStyle name="Bad" xfId="58"/>
    <cellStyle name="Calc Currency (0)" xfId="59"/>
    <cellStyle name="Calc Currency (2)" xfId="60"/>
    <cellStyle name="Calc Percent (0)" xfId="61"/>
    <cellStyle name="Calc Percent (1)" xfId="62"/>
    <cellStyle name="Calc Percent (2)" xfId="63"/>
    <cellStyle name="Calc Units (0)" xfId="64"/>
    <cellStyle name="Calc Units (1)" xfId="65"/>
    <cellStyle name="Calc Units (2)" xfId="66"/>
    <cellStyle name="Calculation" xfId="67"/>
    <cellStyle name="Check Cell" xfId="68"/>
    <cellStyle name="Comma [00]" xfId="69"/>
    <cellStyle name="Comma 2" xfId="70"/>
    <cellStyle name="comma zerodec" xfId="71"/>
    <cellStyle name="company_title" xfId="72"/>
    <cellStyle name="Currency [00]" xfId="73"/>
    <cellStyle name="Currency1" xfId="74"/>
    <cellStyle name="Date Short" xfId="75"/>
    <cellStyle name="date_format" xfId="76"/>
    <cellStyle name="Dollar (zero dec)" xfId="77"/>
    <cellStyle name="Emphasis 1" xfId="78"/>
    <cellStyle name="Emphasis 2" xfId="79"/>
    <cellStyle name="Emphasis 3" xfId="80"/>
    <cellStyle name="Enter Currency (0)" xfId="81"/>
    <cellStyle name="Enter Currency (2)" xfId="82"/>
    <cellStyle name="Enter Units (0)" xfId="83"/>
    <cellStyle name="Enter Units (1)" xfId="84"/>
    <cellStyle name="Enter Units (2)" xfId="85"/>
    <cellStyle name="Good" xfId="86"/>
    <cellStyle name="Grey" xfId="87"/>
    <cellStyle name="Header1" xfId="88"/>
    <cellStyle name="Header2" xfId="89"/>
    <cellStyle name="Heading 1" xfId="90"/>
    <cellStyle name="Heading 2" xfId="91"/>
    <cellStyle name="Heading 3" xfId="92"/>
    <cellStyle name="Heading 4" xfId="93"/>
    <cellStyle name="Hyperlink" xfId="185" builtinId="8"/>
    <cellStyle name="Hyperlink 2" xfId="94"/>
    <cellStyle name="Input" xfId="95"/>
    <cellStyle name="Input [yellow]" xfId="96"/>
    <cellStyle name="Link Currency (0)" xfId="97"/>
    <cellStyle name="Link Currency (2)" xfId="98"/>
    <cellStyle name="Link Units (0)" xfId="99"/>
    <cellStyle name="Link Units (1)" xfId="100"/>
    <cellStyle name="Link Units (2)" xfId="101"/>
    <cellStyle name="Linked Cell" xfId="102"/>
    <cellStyle name="Neutral" xfId="103"/>
    <cellStyle name="no dec" xfId="104"/>
    <cellStyle name="Normal - Style1" xfId="105"/>
    <cellStyle name="Normal 2" xfId="14"/>
    <cellStyle name="Normal 2 2" xfId="186"/>
    <cellStyle name="Normal 3" xfId="106"/>
    <cellStyle name="Normal 4" xfId="107"/>
    <cellStyle name="Normal_P1-3" xfId="2"/>
    <cellStyle name="Normal_สำเนาของ Nongbua-1" xfId="12"/>
    <cellStyle name="Nor聭al_ภาคกลาง" xfId="108"/>
    <cellStyle name="Note" xfId="109"/>
    <cellStyle name="Note 2" xfId="110"/>
    <cellStyle name="Output" xfId="111"/>
    <cellStyle name="ParaBirimi [0]_RESULTS" xfId="112"/>
    <cellStyle name="ParaBirimi_RESULTS" xfId="113"/>
    <cellStyle name="Percent [0]" xfId="114"/>
    <cellStyle name="Percent [00]" xfId="115"/>
    <cellStyle name="Percent [2]" xfId="116"/>
    <cellStyle name="PrePop Currency (0)" xfId="117"/>
    <cellStyle name="PrePop Currency (2)" xfId="118"/>
    <cellStyle name="PrePop Units (0)" xfId="119"/>
    <cellStyle name="PrePop Units (1)" xfId="120"/>
    <cellStyle name="PrePop Units (2)" xfId="121"/>
    <cellStyle name="Quantity" xfId="122"/>
    <cellStyle name="report_title" xfId="123"/>
    <cellStyle name="Sheet Title" xfId="124"/>
    <cellStyle name="Text Indent A" xfId="125"/>
    <cellStyle name="Text Indent B" xfId="126"/>
    <cellStyle name="Text Indent C" xfId="127"/>
    <cellStyle name="Total" xfId="128"/>
    <cellStyle name="Virg? [0]_RESULTS" xfId="129"/>
    <cellStyle name="Virg?_RESULTS" xfId="130"/>
    <cellStyle name="Warning Text" xfId="131"/>
    <cellStyle name="เครื่องหมายจุลภาค" xfId="1" builtinId="3"/>
    <cellStyle name="เครื่องหมายจุลภาค 10" xfId="132"/>
    <cellStyle name="เครื่องหมายจุลภาค 11" xfId="133"/>
    <cellStyle name="เครื่องหมายจุลภาค 11 2" xfId="134"/>
    <cellStyle name="เครื่องหมายจุลภาค 11 3" xfId="135"/>
    <cellStyle name="เครื่องหมายจุลภาค 12" xfId="136"/>
    <cellStyle name="เครื่องหมายจุลภาค 13" xfId="137"/>
    <cellStyle name="เครื่องหมายจุลภาค 14" xfId="138"/>
    <cellStyle name="เครื่องหมายจุลภาค 15" xfId="139"/>
    <cellStyle name="เครื่องหมายจุลภาค 15 2" xfId="140"/>
    <cellStyle name="เครื่องหมายจุลภาค 15 3" xfId="141"/>
    <cellStyle name="เครื่องหมายจุลภาค 16" xfId="142"/>
    <cellStyle name="เครื่องหมายจุลภาค 17" xfId="143"/>
    <cellStyle name="เครื่องหมายจุลภาค 18" xfId="144"/>
    <cellStyle name="เครื่องหมายจุลภาค 19" xfId="145"/>
    <cellStyle name="เครื่องหมายจุลภาค 2" xfId="8"/>
    <cellStyle name="เครื่องหมายจุลภาค 2 2" xfId="4"/>
    <cellStyle name="เครื่องหมายจุลภาค 2 3" xfId="146"/>
    <cellStyle name="เครื่องหมายจุลภาค 20" xfId="147"/>
    <cellStyle name="เครื่องหมายจุลภาค 21" xfId="148"/>
    <cellStyle name="เครื่องหมายจุลภาค 22" xfId="149"/>
    <cellStyle name="เครื่องหมายจุลภาค 23" xfId="187"/>
    <cellStyle name="เครื่องหมายจุลภาค 3" xfId="10"/>
    <cellStyle name="เครื่องหมายจุลภาค 3 2" xfId="150"/>
    <cellStyle name="เครื่องหมายจุลภาค 3 3" xfId="151"/>
    <cellStyle name="เครื่องหมายจุลภาค 3 4" xfId="152"/>
    <cellStyle name="เครื่องหมายจุลภาค 3 5" xfId="153"/>
    <cellStyle name="เครื่องหมายจุลภาค 4" xfId="16"/>
    <cellStyle name="เครื่องหมายจุลภาค 4 2" xfId="154"/>
    <cellStyle name="เครื่องหมายจุลภาค 4 3" xfId="155"/>
    <cellStyle name="เครื่องหมายจุลภาค 5" xfId="156"/>
    <cellStyle name="เครื่องหมายจุลภาค 5 2" xfId="157"/>
    <cellStyle name="เครื่องหมายจุลภาค 6" xfId="158"/>
    <cellStyle name="เครื่องหมายจุลภาค 6 2" xfId="159"/>
    <cellStyle name="เครื่องหมายจุลภาค 6 3" xfId="160"/>
    <cellStyle name="เครื่องหมายจุลภาค 7" xfId="161"/>
    <cellStyle name="เครื่องหมายจุลภาค 7 2" xfId="162"/>
    <cellStyle name="เครื่องหมายจุลภาค 8" xfId="163"/>
    <cellStyle name="เครื่องหมายจุลภาค 8 2" xfId="164"/>
    <cellStyle name="เครื่องหมายจุลภาค 9" xfId="165"/>
    <cellStyle name="เครื่องหมายจุลภาค_tableofoil" xfId="6"/>
    <cellStyle name="ปกติ" xfId="0" builtinId="0"/>
    <cellStyle name="ปกติ 10" xfId="166"/>
    <cellStyle name="ปกติ 11" xfId="167"/>
    <cellStyle name="ปกติ 12" xfId="189"/>
    <cellStyle name="ปกติ 12 2" xfId="191"/>
    <cellStyle name="ปกติ 2" xfId="9"/>
    <cellStyle name="ปกติ 2 2" xfId="168"/>
    <cellStyle name="ปกติ 2 3" xfId="7"/>
    <cellStyle name="ปกติ 2 4" xfId="188"/>
    <cellStyle name="ปกติ 3" xfId="13"/>
    <cellStyle name="ปกติ 4" xfId="17"/>
    <cellStyle name="ปกติ 4 2" xfId="169"/>
    <cellStyle name="ปกติ 4 3" xfId="170"/>
    <cellStyle name="ปกติ 4 4" xfId="171"/>
    <cellStyle name="ปกติ 5" xfId="172"/>
    <cellStyle name="ปกติ 5 2" xfId="173"/>
    <cellStyle name="ปกติ 5 3" xfId="174"/>
    <cellStyle name="ปกติ 6" xfId="175"/>
    <cellStyle name="ปกติ 6 2" xfId="176"/>
    <cellStyle name="ปกติ 7" xfId="177"/>
    <cellStyle name="ปกติ 8" xfId="178"/>
    <cellStyle name="ปกติ 9" xfId="179"/>
    <cellStyle name="ปกติ_0_Master_Road54" xfId="15"/>
    <cellStyle name="ปกติ_1_งานก่อสร้างทางและสะพาน" xfId="184"/>
    <cellStyle name="ปกติ_factorF 2" xfId="11"/>
    <cellStyle name="ปกติ_tableofoil" xfId="5"/>
    <cellStyle name="ปกติ_แบบตัวอย่างใหม่" xfId="3"/>
    <cellStyle name="ปกติ_ราคางานต้นทุนต่อหน่วยงานสะพาน  หน้า 32 - 64" xfId="190"/>
    <cellStyle name="เปอร์เซ็นต์" xfId="183" builtinId="5"/>
    <cellStyle name="เปอร์เซ็นต์ 2" xfId="18"/>
    <cellStyle name="เปอร์เซ็นต์ 2 2" xfId="180"/>
    <cellStyle name="เปอร์เซ็นต์ 3" xfId="181"/>
    <cellStyle name="เปอร์เซ็นต์ 4" xfId="182"/>
  </cellStyles>
  <dxfs count="0"/>
  <tableStyles count="0" defaultTableStyle="TableStyleMedium9" defaultPivotStyle="PivotStyleLight16"/>
  <colors>
    <mruColors>
      <color rgb="FFFFFF66"/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39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34" Type="http://schemas.openxmlformats.org/officeDocument/2006/relationships/externalLink" Target="externalLinks/externalLink17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33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externalLink" Target="externalLinks/externalLink12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32" Type="http://schemas.openxmlformats.org/officeDocument/2006/relationships/externalLink" Target="externalLinks/externalLink15.xml"/><Relationship Id="rId37" Type="http://schemas.openxmlformats.org/officeDocument/2006/relationships/externalLink" Target="externalLinks/externalLink20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externalLink" Target="externalLinks/externalLink11.xml"/><Relationship Id="rId36" Type="http://schemas.openxmlformats.org/officeDocument/2006/relationships/externalLink" Target="externalLinks/externalLink19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13.xml"/><Relationship Id="rId35" Type="http://schemas.openxmlformats.org/officeDocument/2006/relationships/externalLink" Target="externalLinks/externalLink18.xml"/><Relationship Id="rId43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title>
      <c:spPr>
        <a:noFill/>
        <a:ln w="25400">
          <a:noFill/>
        </a:ln>
      </c:spPr>
      <c:txPr>
        <a:bodyPr/>
        <a:lstStyle/>
        <a:p>
          <a:pPr>
            <a:defRPr lang="th-TH"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th-TH"/>
        </a:p>
      </c:txPr>
    </c:title>
    <c:plotArea>
      <c:layout/>
      <c:scatterChart>
        <c:scatterStyle val="smoothMarker"/>
        <c:ser>
          <c:idx val="5"/>
          <c:order val="0"/>
          <c:tx>
            <c:v>ค่า Factor F ปรับปรุงแล้ว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333333"/>
              </a:solidFill>
              <a:ln>
                <a:solidFill>
                  <a:srgbClr val="333333"/>
                </a:solidFill>
                <a:prstDash val="solid"/>
              </a:ln>
            </c:spPr>
          </c:marker>
          <c:xVal>
            <c:numRef>
              <c:f>'[22]FACTOR Fทาง'!$B$11:$B$46</c:f>
              <c:numCache>
                <c:formatCode>General</c:formatCode>
                <c:ptCount val="36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350</c:v>
                </c:pt>
                <c:pt idx="32">
                  <c:v>400</c:v>
                </c:pt>
                <c:pt idx="33">
                  <c:v>450</c:v>
                </c:pt>
                <c:pt idx="34">
                  <c:v>500</c:v>
                </c:pt>
                <c:pt idx="35">
                  <c:v>500</c:v>
                </c:pt>
              </c:numCache>
            </c:numRef>
          </c:xVal>
          <c:yVal>
            <c:numRef>
              <c:f>'[22]FACTOR Fทาง'!$I$11:$I$46</c:f>
              <c:numCache>
                <c:formatCode>General</c:formatCode>
                <c:ptCount val="36"/>
                <c:pt idx="0">
                  <c:v>1.3322464783333334</c:v>
                </c:pt>
                <c:pt idx="1">
                  <c:v>1.2859539983333335</c:v>
                </c:pt>
                <c:pt idx="2">
                  <c:v>1.2390195183333335</c:v>
                </c:pt>
                <c:pt idx="3">
                  <c:v>1.2082291983333335</c:v>
                </c:pt>
                <c:pt idx="4">
                  <c:v>1.2018805316666668</c:v>
                </c:pt>
                <c:pt idx="5">
                  <c:v>1.1952231343333335</c:v>
                </c:pt>
                <c:pt idx="6">
                  <c:v>1.1859860383333334</c:v>
                </c:pt>
                <c:pt idx="7">
                  <c:v>1.1781659688095238</c:v>
                </c:pt>
                <c:pt idx="8">
                  <c:v>1.1749803750000001</c:v>
                </c:pt>
                <c:pt idx="9">
                  <c:v>1.1708971361111111</c:v>
                </c:pt>
                <c:pt idx="10">
                  <c:v>1.1676305450000002</c:v>
                </c:pt>
                <c:pt idx="11">
                  <c:v>1.1609085456060608</c:v>
                </c:pt>
                <c:pt idx="12">
                  <c:v>1.1597592683333335</c:v>
                </c:pt>
                <c:pt idx="13">
                  <c:v>1.1576862393589744</c:v>
                </c:pt>
                <c:pt idx="14">
                  <c:v>1.1559093573809525</c:v>
                </c:pt>
                <c:pt idx="15">
                  <c:v>1.1543693930000001</c:v>
                </c:pt>
                <c:pt idx="16">
                  <c:v>1.1541694991666667</c:v>
                </c:pt>
                <c:pt idx="17">
                  <c:v>1.153231534019608</c:v>
                </c:pt>
                <c:pt idx="18">
                  <c:v>1.1521362316666668</c:v>
                </c:pt>
                <c:pt idx="19">
                  <c:v>1.1466044818421053</c:v>
                </c:pt>
                <c:pt idx="20">
                  <c:v>1.1456823840000001</c:v>
                </c:pt>
                <c:pt idx="21">
                  <c:v>1.1448481050000001</c:v>
                </c:pt>
                <c:pt idx="22">
                  <c:v>1.1440896695454545</c:v>
                </c:pt>
                <c:pt idx="23">
                  <c:v>1.1433971850000002</c:v>
                </c:pt>
                <c:pt idx="24">
                  <c:v>1.1427624075</c:v>
                </c:pt>
                <c:pt idx="25">
                  <c:v>1.1421784122</c:v>
                </c:pt>
                <c:pt idx="26">
                  <c:v>1.1416393396153846</c:v>
                </c:pt>
                <c:pt idx="27">
                  <c:v>1.1411401983333336</c:v>
                </c:pt>
                <c:pt idx="28">
                  <c:v>1.1406767099999999</c:v>
                </c:pt>
                <c:pt idx="29">
                  <c:v>1.1402451863793106</c:v>
                </c:pt>
                <c:pt idx="30">
                  <c:v>1.1398424310000002</c:v>
                </c:pt>
                <c:pt idx="31">
                  <c:v>1.1382123114761904</c:v>
                </c:pt>
                <c:pt idx="32">
                  <c:v>1.1358963423333333</c:v>
                </c:pt>
                <c:pt idx="33">
                  <c:v>1.1340950330000001</c:v>
                </c:pt>
                <c:pt idx="34">
                  <c:v>1.1326539855333333</c:v>
                </c:pt>
                <c:pt idx="35">
                  <c:v>1.1326539855333333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BA1-46F6-B931-205F9ADF5AFD}"/>
            </c:ext>
          </c:extLst>
        </c:ser>
        <c:ser>
          <c:idx val="0"/>
          <c:order val="1"/>
          <c:tx>
            <c:v>Factor F  ของเดิม</c:v>
          </c:tx>
          <c:xVal>
            <c:numRef>
              <c:f>'[22]FACTOR Fทาง'!$B$11:$B$46</c:f>
              <c:numCache>
                <c:formatCode>General</c:formatCode>
                <c:ptCount val="36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  <c:pt idx="13">
                  <c:v>130</c:v>
                </c:pt>
                <c:pt idx="14">
                  <c:v>140</c:v>
                </c:pt>
                <c:pt idx="15">
                  <c:v>150</c:v>
                </c:pt>
                <c:pt idx="16">
                  <c:v>160</c:v>
                </c:pt>
                <c:pt idx="17">
                  <c:v>170</c:v>
                </c:pt>
                <c:pt idx="18">
                  <c:v>180</c:v>
                </c:pt>
                <c:pt idx="19">
                  <c:v>190</c:v>
                </c:pt>
                <c:pt idx="20">
                  <c:v>200</c:v>
                </c:pt>
                <c:pt idx="21">
                  <c:v>210</c:v>
                </c:pt>
                <c:pt idx="22">
                  <c:v>220</c:v>
                </c:pt>
                <c:pt idx="23">
                  <c:v>230</c:v>
                </c:pt>
                <c:pt idx="24">
                  <c:v>240</c:v>
                </c:pt>
                <c:pt idx="25">
                  <c:v>250</c:v>
                </c:pt>
                <c:pt idx="26">
                  <c:v>260</c:v>
                </c:pt>
                <c:pt idx="27">
                  <c:v>270</c:v>
                </c:pt>
                <c:pt idx="28">
                  <c:v>280</c:v>
                </c:pt>
                <c:pt idx="29">
                  <c:v>290</c:v>
                </c:pt>
                <c:pt idx="30">
                  <c:v>300</c:v>
                </c:pt>
                <c:pt idx="31">
                  <c:v>350</c:v>
                </c:pt>
                <c:pt idx="32">
                  <c:v>400</c:v>
                </c:pt>
                <c:pt idx="33">
                  <c:v>450</c:v>
                </c:pt>
                <c:pt idx="34">
                  <c:v>500</c:v>
                </c:pt>
                <c:pt idx="35">
                  <c:v>500</c:v>
                </c:pt>
              </c:numCache>
            </c:numRef>
          </c:xVal>
          <c:yVal>
            <c:numRef>
              <c:f>'[22]FACTOR Fทาง'!$T$11:$T$46</c:f>
              <c:numCache>
                <c:formatCode>General</c:formatCode>
                <c:ptCount val="36"/>
                <c:pt idx="0">
                  <c:v>1.3053950066666666</c:v>
                </c:pt>
                <c:pt idx="1">
                  <c:v>1.2677558841666667</c:v>
                </c:pt>
                <c:pt idx="2">
                  <c:v>1.2303173866666668</c:v>
                </c:pt>
                <c:pt idx="3">
                  <c:v>1.2046673466666666</c:v>
                </c:pt>
                <c:pt idx="4">
                  <c:v>1.1973482791666668</c:v>
                </c:pt>
                <c:pt idx="5">
                  <c:v>1.1968623386666668</c:v>
                </c:pt>
                <c:pt idx="6">
                  <c:v>1.1972182741666668</c:v>
                </c:pt>
                <c:pt idx="7">
                  <c:v>1.1875819433333334</c:v>
                </c:pt>
                <c:pt idx="8">
                  <c:v>1.1822910608333335</c:v>
                </c:pt>
                <c:pt idx="9">
                  <c:v>1.1781759300000001</c:v>
                </c:pt>
                <c:pt idx="10">
                  <c:v>1.1748838253333334</c:v>
                </c:pt>
                <c:pt idx="11">
                  <c:v>1.1668402851515152</c:v>
                </c:pt>
                <c:pt idx="12">
                  <c:v>1.1645956683333334</c:v>
                </c:pt>
                <c:pt idx="13">
                  <c:v>1.1626963771794872</c:v>
                </c:pt>
                <c:pt idx="14">
                  <c:v>1.1610684133333333</c:v>
                </c:pt>
                <c:pt idx="15">
                  <c:v>1.1596575113333334</c:v>
                </c:pt>
                <c:pt idx="16">
                  <c:v>1.16374524125</c:v>
                </c:pt>
                <c:pt idx="17">
                  <c:v>1.1622914652941176</c:v>
                </c:pt>
                <c:pt idx="18">
                  <c:v>1.1609992200000001</c:v>
                </c:pt>
                <c:pt idx="19">
                  <c:v>1.1544930005263159</c:v>
                </c:pt>
                <c:pt idx="20">
                  <c:v>1.1573201319999999</c:v>
                </c:pt>
                <c:pt idx="21">
                  <c:v>1.1562441400000001</c:v>
                </c:pt>
                <c:pt idx="22">
                  <c:v>1.1552659654545454</c:v>
                </c:pt>
                <c:pt idx="23">
                  <c:v>1.1543728495652175</c:v>
                </c:pt>
                <c:pt idx="24">
                  <c:v>1.1535541600000001</c:v>
                </c:pt>
                <c:pt idx="25">
                  <c:v>1.1528009656000002</c:v>
                </c:pt>
                <c:pt idx="26">
                  <c:v>1.1521057092307694</c:v>
                </c:pt>
                <c:pt idx="27">
                  <c:v>1.1514619533333335</c:v>
                </c:pt>
                <c:pt idx="28">
                  <c:v>1.1508641800000001</c:v>
                </c:pt>
                <c:pt idx="29">
                  <c:v>1.1503076324137933</c:v>
                </c:pt>
                <c:pt idx="30">
                  <c:v>1.149788188</c:v>
                </c:pt>
                <c:pt idx="31">
                  <c:v>1.1486940569523809</c:v>
                </c:pt>
                <c:pt idx="32">
                  <c:v>1.1467399006666668</c:v>
                </c:pt>
                <c:pt idx="33">
                  <c:v>1.1452200013333336</c:v>
                </c:pt>
                <c:pt idx="34">
                  <c:v>1.1440040818666668</c:v>
                </c:pt>
                <c:pt idx="35">
                  <c:v>1.1440040818666668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8BA1-46F6-B931-205F9ADF5AFD}"/>
            </c:ext>
          </c:extLst>
        </c:ser>
        <c:dLbls/>
        <c:axId val="91241856"/>
        <c:axId val="91243648"/>
      </c:scatterChart>
      <c:valAx>
        <c:axId val="91241856"/>
        <c:scaling>
          <c:orientation val="minMax"/>
          <c:max val="500"/>
        </c:scaling>
        <c:axPos val="b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th-TH"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h-TH"/>
          </a:p>
        </c:txPr>
        <c:crossAx val="91243648"/>
        <c:crosses val="autoZero"/>
        <c:crossBetween val="midCat"/>
        <c:majorUnit val="50"/>
        <c:minorUnit val="20"/>
      </c:valAx>
      <c:valAx>
        <c:axId val="91243648"/>
        <c:scaling>
          <c:orientation val="minMax"/>
          <c:max val="1.3"/>
          <c:min val="1.1399999999999206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th-TH"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h-TH"/>
          </a:p>
        </c:txPr>
        <c:crossAx val="91241856"/>
        <c:crosses val="autoZero"/>
        <c:crossBetween val="midCat"/>
        <c:majorUnit val="1.0000000000000005E-2"/>
        <c:minorUnit val="5.0000000000000114E-3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lang="th-TH" sz="1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th-TH"/>
        </a:p>
      </c:txPr>
    </c:legend>
    <c:plotVisOnly val="1"/>
    <c:dispBlanksAs val="gap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h-TH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1</xdr:row>
      <xdr:rowOff>0</xdr:rowOff>
    </xdr:from>
    <xdr:to>
      <xdr:col>6</xdr:col>
      <xdr:colOff>37875</xdr:colOff>
      <xdr:row>6</xdr:row>
      <xdr:rowOff>228375</xdr:rowOff>
    </xdr:to>
    <xdr:pic>
      <xdr:nvPicPr>
        <xdr:cNvPr id="3" name="il_fi" descr="http://ubon.drr.go.th/sites/ubon.drr.go.th/files/krmthaanghlwngchnbth.jpg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666875" y="295275"/>
          <a:ext cx="1800000" cy="180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101958</xdr:colOff>
      <xdr:row>264</xdr:row>
      <xdr:rowOff>71238</xdr:rowOff>
    </xdr:from>
    <xdr:to>
      <xdr:col>0</xdr:col>
      <xdr:colOff>263958</xdr:colOff>
      <xdr:row>264</xdr:row>
      <xdr:rowOff>233238</xdr:rowOff>
    </xdr:to>
    <xdr:cxnSp macro="">
      <xdr:nvCxnSpPr>
        <xdr:cNvPr id="3" name="ตัวเชื่อมต่อตรง 2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CxnSpPr/>
      </xdr:nvCxnSpPr>
      <xdr:spPr>
        <a:xfrm flipV="1">
          <a:off x="101958" y="594405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265</xdr:row>
      <xdr:rowOff>71238</xdr:rowOff>
    </xdr:from>
    <xdr:to>
      <xdr:col>0</xdr:col>
      <xdr:colOff>263958</xdr:colOff>
      <xdr:row>265</xdr:row>
      <xdr:rowOff>233238</xdr:rowOff>
    </xdr:to>
    <xdr:cxnSp macro="">
      <xdr:nvCxnSpPr>
        <xdr:cNvPr id="4" name="ตัวเชื่อมต่อตรง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CxnSpPr/>
      </xdr:nvCxnSpPr>
      <xdr:spPr>
        <a:xfrm flipV="1">
          <a:off x="101958" y="597072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266</xdr:row>
      <xdr:rowOff>71238</xdr:rowOff>
    </xdr:from>
    <xdr:to>
      <xdr:col>0</xdr:col>
      <xdr:colOff>263958</xdr:colOff>
      <xdr:row>266</xdr:row>
      <xdr:rowOff>233238</xdr:rowOff>
    </xdr:to>
    <xdr:cxnSp macro="">
      <xdr:nvCxnSpPr>
        <xdr:cNvPr id="5" name="ตัวเชื่อมต่อตรง 4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CxnSpPr/>
      </xdr:nvCxnSpPr>
      <xdr:spPr>
        <a:xfrm flipV="1">
          <a:off x="101958" y="599739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267</xdr:row>
      <xdr:rowOff>71238</xdr:rowOff>
    </xdr:from>
    <xdr:to>
      <xdr:col>0</xdr:col>
      <xdr:colOff>263958</xdr:colOff>
      <xdr:row>267</xdr:row>
      <xdr:rowOff>233238</xdr:rowOff>
    </xdr:to>
    <xdr:cxnSp macro="">
      <xdr:nvCxnSpPr>
        <xdr:cNvPr id="6" name="ตัวเชื่อมต่อตรง 5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CxnSpPr/>
      </xdr:nvCxnSpPr>
      <xdr:spPr>
        <a:xfrm flipV="1">
          <a:off x="101958" y="602406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268</xdr:row>
      <xdr:rowOff>71238</xdr:rowOff>
    </xdr:from>
    <xdr:to>
      <xdr:col>0</xdr:col>
      <xdr:colOff>263958</xdr:colOff>
      <xdr:row>268</xdr:row>
      <xdr:rowOff>233238</xdr:rowOff>
    </xdr:to>
    <xdr:cxnSp macro="">
      <xdr:nvCxnSpPr>
        <xdr:cNvPr id="7" name="ตัวเชื่อมต่อตรง 6">
          <a:extLst>
            <a:ext uri="{FF2B5EF4-FFF2-40B4-BE49-F238E27FC236}">
              <a16:creationId xmlns="" xmlns:a16="http://schemas.microsoft.com/office/drawing/2014/main" id="{00000000-0008-0000-0800-000007000000}"/>
            </a:ext>
          </a:extLst>
        </xdr:cNvPr>
        <xdr:cNvCxnSpPr/>
      </xdr:nvCxnSpPr>
      <xdr:spPr>
        <a:xfrm flipV="1">
          <a:off x="101958" y="605073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269</xdr:row>
      <xdr:rowOff>71238</xdr:rowOff>
    </xdr:from>
    <xdr:to>
      <xdr:col>0</xdr:col>
      <xdr:colOff>263958</xdr:colOff>
      <xdr:row>269</xdr:row>
      <xdr:rowOff>233238</xdr:rowOff>
    </xdr:to>
    <xdr:cxnSp macro="">
      <xdr:nvCxnSpPr>
        <xdr:cNvPr id="8" name="ตัวเชื่อมต่อตรง 7"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CxnSpPr/>
      </xdr:nvCxnSpPr>
      <xdr:spPr>
        <a:xfrm flipV="1">
          <a:off x="101958" y="607740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270</xdr:row>
      <xdr:rowOff>71238</xdr:rowOff>
    </xdr:from>
    <xdr:to>
      <xdr:col>0</xdr:col>
      <xdr:colOff>263958</xdr:colOff>
      <xdr:row>270</xdr:row>
      <xdr:rowOff>233238</xdr:rowOff>
    </xdr:to>
    <xdr:cxnSp macro="">
      <xdr:nvCxnSpPr>
        <xdr:cNvPr id="9" name="ตัวเชื่อมต่อตรง 8">
          <a:extLst>
            <a:ext uri="{FF2B5EF4-FFF2-40B4-BE49-F238E27FC236}">
              <a16:creationId xmlns="" xmlns:a16="http://schemas.microsoft.com/office/drawing/2014/main" id="{00000000-0008-0000-0800-000009000000}"/>
            </a:ext>
          </a:extLst>
        </xdr:cNvPr>
        <xdr:cNvCxnSpPr/>
      </xdr:nvCxnSpPr>
      <xdr:spPr>
        <a:xfrm flipV="1">
          <a:off x="101958" y="610407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271</xdr:row>
      <xdr:rowOff>71238</xdr:rowOff>
    </xdr:from>
    <xdr:to>
      <xdr:col>0</xdr:col>
      <xdr:colOff>263958</xdr:colOff>
      <xdr:row>271</xdr:row>
      <xdr:rowOff>233238</xdr:rowOff>
    </xdr:to>
    <xdr:cxnSp macro="">
      <xdr:nvCxnSpPr>
        <xdr:cNvPr id="10" name="ตัวเชื่อมต่อตรง 9">
          <a:extLst>
            <a:ext uri="{FF2B5EF4-FFF2-40B4-BE49-F238E27FC236}">
              <a16:creationId xmlns="" xmlns:a16="http://schemas.microsoft.com/office/drawing/2014/main" id="{00000000-0008-0000-0800-00000A000000}"/>
            </a:ext>
          </a:extLst>
        </xdr:cNvPr>
        <xdr:cNvCxnSpPr/>
      </xdr:nvCxnSpPr>
      <xdr:spPr>
        <a:xfrm flipV="1">
          <a:off x="101958" y="613074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273</xdr:row>
      <xdr:rowOff>71238</xdr:rowOff>
    </xdr:from>
    <xdr:to>
      <xdr:col>0</xdr:col>
      <xdr:colOff>263958</xdr:colOff>
      <xdr:row>273</xdr:row>
      <xdr:rowOff>233238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="" xmlns:a16="http://schemas.microsoft.com/office/drawing/2014/main" id="{00000000-0008-0000-0800-00000B000000}"/>
            </a:ext>
          </a:extLst>
        </xdr:cNvPr>
        <xdr:cNvCxnSpPr/>
      </xdr:nvCxnSpPr>
      <xdr:spPr>
        <a:xfrm flipV="1">
          <a:off x="101958" y="594405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274</xdr:row>
      <xdr:rowOff>71238</xdr:rowOff>
    </xdr:from>
    <xdr:to>
      <xdr:col>0</xdr:col>
      <xdr:colOff>263958</xdr:colOff>
      <xdr:row>274</xdr:row>
      <xdr:rowOff>233238</xdr:rowOff>
    </xdr:to>
    <xdr:cxnSp macro="">
      <xdr:nvCxnSpPr>
        <xdr:cNvPr id="12" name="ตัวเชื่อมต่อตรง 11">
          <a:extLst>
            <a:ext uri="{FF2B5EF4-FFF2-40B4-BE49-F238E27FC236}">
              <a16:creationId xmlns="" xmlns:a16="http://schemas.microsoft.com/office/drawing/2014/main" id="{00000000-0008-0000-0800-00000C000000}"/>
            </a:ext>
          </a:extLst>
        </xdr:cNvPr>
        <xdr:cNvCxnSpPr/>
      </xdr:nvCxnSpPr>
      <xdr:spPr>
        <a:xfrm flipV="1">
          <a:off x="101958" y="597072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275</xdr:row>
      <xdr:rowOff>71238</xdr:rowOff>
    </xdr:from>
    <xdr:to>
      <xdr:col>0</xdr:col>
      <xdr:colOff>263958</xdr:colOff>
      <xdr:row>275</xdr:row>
      <xdr:rowOff>233238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="" xmlns:a16="http://schemas.microsoft.com/office/drawing/2014/main" id="{00000000-0008-0000-0800-00000D000000}"/>
            </a:ext>
          </a:extLst>
        </xdr:cNvPr>
        <xdr:cNvCxnSpPr/>
      </xdr:nvCxnSpPr>
      <xdr:spPr>
        <a:xfrm flipV="1">
          <a:off x="101958" y="599739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276</xdr:row>
      <xdr:rowOff>71238</xdr:rowOff>
    </xdr:from>
    <xdr:to>
      <xdr:col>0</xdr:col>
      <xdr:colOff>263958</xdr:colOff>
      <xdr:row>276</xdr:row>
      <xdr:rowOff>233238</xdr:rowOff>
    </xdr:to>
    <xdr:cxnSp macro="">
      <xdr:nvCxnSpPr>
        <xdr:cNvPr id="14" name="ตัวเชื่อมต่อตรง 13">
          <a:extLst>
            <a:ext uri="{FF2B5EF4-FFF2-40B4-BE49-F238E27FC236}">
              <a16:creationId xmlns="" xmlns:a16="http://schemas.microsoft.com/office/drawing/2014/main" id="{00000000-0008-0000-0800-00000E000000}"/>
            </a:ext>
          </a:extLst>
        </xdr:cNvPr>
        <xdr:cNvCxnSpPr/>
      </xdr:nvCxnSpPr>
      <xdr:spPr>
        <a:xfrm flipV="1">
          <a:off x="101958" y="602406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277</xdr:row>
      <xdr:rowOff>71238</xdr:rowOff>
    </xdr:from>
    <xdr:to>
      <xdr:col>0</xdr:col>
      <xdr:colOff>263958</xdr:colOff>
      <xdr:row>277</xdr:row>
      <xdr:rowOff>233238</xdr:rowOff>
    </xdr:to>
    <xdr:cxnSp macro="">
      <xdr:nvCxnSpPr>
        <xdr:cNvPr id="15" name="ตัวเชื่อมต่อตรง 14">
          <a:extLst>
            <a:ext uri="{FF2B5EF4-FFF2-40B4-BE49-F238E27FC236}">
              <a16:creationId xmlns="" xmlns:a16="http://schemas.microsoft.com/office/drawing/2014/main" id="{00000000-0008-0000-0800-00000F000000}"/>
            </a:ext>
          </a:extLst>
        </xdr:cNvPr>
        <xdr:cNvCxnSpPr/>
      </xdr:nvCxnSpPr>
      <xdr:spPr>
        <a:xfrm flipV="1">
          <a:off x="101958" y="605073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278</xdr:row>
      <xdr:rowOff>71238</xdr:rowOff>
    </xdr:from>
    <xdr:to>
      <xdr:col>0</xdr:col>
      <xdr:colOff>263958</xdr:colOff>
      <xdr:row>278</xdr:row>
      <xdr:rowOff>233238</xdr:rowOff>
    </xdr:to>
    <xdr:cxnSp macro="">
      <xdr:nvCxnSpPr>
        <xdr:cNvPr id="16" name="ตัวเชื่อมต่อตรง 15">
          <a:extLst>
            <a:ext uri="{FF2B5EF4-FFF2-40B4-BE49-F238E27FC236}">
              <a16:creationId xmlns="" xmlns:a16="http://schemas.microsoft.com/office/drawing/2014/main" id="{00000000-0008-0000-0800-000010000000}"/>
            </a:ext>
          </a:extLst>
        </xdr:cNvPr>
        <xdr:cNvCxnSpPr/>
      </xdr:nvCxnSpPr>
      <xdr:spPr>
        <a:xfrm flipV="1">
          <a:off x="101958" y="607740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279</xdr:row>
      <xdr:rowOff>71238</xdr:rowOff>
    </xdr:from>
    <xdr:to>
      <xdr:col>0</xdr:col>
      <xdr:colOff>263958</xdr:colOff>
      <xdr:row>279</xdr:row>
      <xdr:rowOff>233238</xdr:rowOff>
    </xdr:to>
    <xdr:cxnSp macro="">
      <xdr:nvCxnSpPr>
        <xdr:cNvPr id="17" name="ตัวเชื่อมต่อตรง 16">
          <a:extLst>
            <a:ext uri="{FF2B5EF4-FFF2-40B4-BE49-F238E27FC236}">
              <a16:creationId xmlns="" xmlns:a16="http://schemas.microsoft.com/office/drawing/2014/main" id="{00000000-0008-0000-0800-000011000000}"/>
            </a:ext>
          </a:extLst>
        </xdr:cNvPr>
        <xdr:cNvCxnSpPr/>
      </xdr:nvCxnSpPr>
      <xdr:spPr>
        <a:xfrm flipV="1">
          <a:off x="101958" y="610407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280</xdr:row>
      <xdr:rowOff>71238</xdr:rowOff>
    </xdr:from>
    <xdr:to>
      <xdr:col>0</xdr:col>
      <xdr:colOff>263958</xdr:colOff>
      <xdr:row>280</xdr:row>
      <xdr:rowOff>233238</xdr:rowOff>
    </xdr:to>
    <xdr:cxnSp macro="">
      <xdr:nvCxnSpPr>
        <xdr:cNvPr id="18" name="ตัวเชื่อมต่อตรง 17">
          <a:extLst>
            <a:ext uri="{FF2B5EF4-FFF2-40B4-BE49-F238E27FC236}">
              <a16:creationId xmlns="" xmlns:a16="http://schemas.microsoft.com/office/drawing/2014/main" id="{00000000-0008-0000-0800-000012000000}"/>
            </a:ext>
          </a:extLst>
        </xdr:cNvPr>
        <xdr:cNvCxnSpPr/>
      </xdr:nvCxnSpPr>
      <xdr:spPr>
        <a:xfrm flipV="1">
          <a:off x="101958" y="613074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264</xdr:row>
      <xdr:rowOff>71238</xdr:rowOff>
    </xdr:from>
    <xdr:to>
      <xdr:col>10</xdr:col>
      <xdr:colOff>263958</xdr:colOff>
      <xdr:row>264</xdr:row>
      <xdr:rowOff>233238</xdr:rowOff>
    </xdr:to>
    <xdr:cxnSp macro="">
      <xdr:nvCxnSpPr>
        <xdr:cNvPr id="19" name="ตัวเชื่อมต่อตรง 18">
          <a:extLst>
            <a:ext uri="{FF2B5EF4-FFF2-40B4-BE49-F238E27FC236}">
              <a16:creationId xmlns="" xmlns:a16="http://schemas.microsoft.com/office/drawing/2014/main" id="{00000000-0008-0000-0800-000013000000}"/>
            </a:ext>
          </a:extLst>
        </xdr:cNvPr>
        <xdr:cNvCxnSpPr/>
      </xdr:nvCxnSpPr>
      <xdr:spPr>
        <a:xfrm flipV="1">
          <a:off x="101958" y="594405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265</xdr:row>
      <xdr:rowOff>71238</xdr:rowOff>
    </xdr:from>
    <xdr:to>
      <xdr:col>10</xdr:col>
      <xdr:colOff>263958</xdr:colOff>
      <xdr:row>265</xdr:row>
      <xdr:rowOff>233238</xdr:rowOff>
    </xdr:to>
    <xdr:cxnSp macro="">
      <xdr:nvCxnSpPr>
        <xdr:cNvPr id="20" name="ตัวเชื่อมต่อตรง 19">
          <a:extLst>
            <a:ext uri="{FF2B5EF4-FFF2-40B4-BE49-F238E27FC236}">
              <a16:creationId xmlns="" xmlns:a16="http://schemas.microsoft.com/office/drawing/2014/main" id="{00000000-0008-0000-0800-000014000000}"/>
            </a:ext>
          </a:extLst>
        </xdr:cNvPr>
        <xdr:cNvCxnSpPr/>
      </xdr:nvCxnSpPr>
      <xdr:spPr>
        <a:xfrm flipV="1">
          <a:off x="101958" y="597072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266</xdr:row>
      <xdr:rowOff>71238</xdr:rowOff>
    </xdr:from>
    <xdr:to>
      <xdr:col>10</xdr:col>
      <xdr:colOff>263958</xdr:colOff>
      <xdr:row>266</xdr:row>
      <xdr:rowOff>233238</xdr:rowOff>
    </xdr:to>
    <xdr:cxnSp macro="">
      <xdr:nvCxnSpPr>
        <xdr:cNvPr id="21" name="ตัวเชื่อมต่อตรง 20">
          <a:extLst>
            <a:ext uri="{FF2B5EF4-FFF2-40B4-BE49-F238E27FC236}">
              <a16:creationId xmlns="" xmlns:a16="http://schemas.microsoft.com/office/drawing/2014/main" id="{00000000-0008-0000-0800-000015000000}"/>
            </a:ext>
          </a:extLst>
        </xdr:cNvPr>
        <xdr:cNvCxnSpPr/>
      </xdr:nvCxnSpPr>
      <xdr:spPr>
        <a:xfrm flipV="1">
          <a:off x="101958" y="599739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267</xdr:row>
      <xdr:rowOff>71238</xdr:rowOff>
    </xdr:from>
    <xdr:to>
      <xdr:col>10</xdr:col>
      <xdr:colOff>263958</xdr:colOff>
      <xdr:row>267</xdr:row>
      <xdr:rowOff>233238</xdr:rowOff>
    </xdr:to>
    <xdr:cxnSp macro="">
      <xdr:nvCxnSpPr>
        <xdr:cNvPr id="22" name="ตัวเชื่อมต่อตรง 21">
          <a:extLst>
            <a:ext uri="{FF2B5EF4-FFF2-40B4-BE49-F238E27FC236}">
              <a16:creationId xmlns="" xmlns:a16="http://schemas.microsoft.com/office/drawing/2014/main" id="{00000000-0008-0000-0800-000016000000}"/>
            </a:ext>
          </a:extLst>
        </xdr:cNvPr>
        <xdr:cNvCxnSpPr/>
      </xdr:nvCxnSpPr>
      <xdr:spPr>
        <a:xfrm flipV="1">
          <a:off x="101958" y="602406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268</xdr:row>
      <xdr:rowOff>71238</xdr:rowOff>
    </xdr:from>
    <xdr:to>
      <xdr:col>10</xdr:col>
      <xdr:colOff>263958</xdr:colOff>
      <xdr:row>268</xdr:row>
      <xdr:rowOff>233238</xdr:rowOff>
    </xdr:to>
    <xdr:cxnSp macro="">
      <xdr:nvCxnSpPr>
        <xdr:cNvPr id="23" name="ตัวเชื่อมต่อตรง 22">
          <a:extLst>
            <a:ext uri="{FF2B5EF4-FFF2-40B4-BE49-F238E27FC236}">
              <a16:creationId xmlns="" xmlns:a16="http://schemas.microsoft.com/office/drawing/2014/main" id="{00000000-0008-0000-0800-000017000000}"/>
            </a:ext>
          </a:extLst>
        </xdr:cNvPr>
        <xdr:cNvCxnSpPr/>
      </xdr:nvCxnSpPr>
      <xdr:spPr>
        <a:xfrm flipV="1">
          <a:off x="101958" y="605073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269</xdr:row>
      <xdr:rowOff>71238</xdr:rowOff>
    </xdr:from>
    <xdr:to>
      <xdr:col>10</xdr:col>
      <xdr:colOff>263958</xdr:colOff>
      <xdr:row>269</xdr:row>
      <xdr:rowOff>233238</xdr:rowOff>
    </xdr:to>
    <xdr:cxnSp macro="">
      <xdr:nvCxnSpPr>
        <xdr:cNvPr id="24" name="ตัวเชื่อมต่อตรง 23">
          <a:extLst>
            <a:ext uri="{FF2B5EF4-FFF2-40B4-BE49-F238E27FC236}">
              <a16:creationId xmlns="" xmlns:a16="http://schemas.microsoft.com/office/drawing/2014/main" id="{00000000-0008-0000-0800-000018000000}"/>
            </a:ext>
          </a:extLst>
        </xdr:cNvPr>
        <xdr:cNvCxnSpPr/>
      </xdr:nvCxnSpPr>
      <xdr:spPr>
        <a:xfrm flipV="1">
          <a:off x="101958" y="607740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270</xdr:row>
      <xdr:rowOff>71238</xdr:rowOff>
    </xdr:from>
    <xdr:to>
      <xdr:col>10</xdr:col>
      <xdr:colOff>263958</xdr:colOff>
      <xdr:row>270</xdr:row>
      <xdr:rowOff>233238</xdr:rowOff>
    </xdr:to>
    <xdr:cxnSp macro="">
      <xdr:nvCxnSpPr>
        <xdr:cNvPr id="25" name="ตัวเชื่อมต่อตรง 24">
          <a:extLst>
            <a:ext uri="{FF2B5EF4-FFF2-40B4-BE49-F238E27FC236}">
              <a16:creationId xmlns="" xmlns:a16="http://schemas.microsoft.com/office/drawing/2014/main" id="{00000000-0008-0000-0800-000019000000}"/>
            </a:ext>
          </a:extLst>
        </xdr:cNvPr>
        <xdr:cNvCxnSpPr/>
      </xdr:nvCxnSpPr>
      <xdr:spPr>
        <a:xfrm flipV="1">
          <a:off x="101958" y="610407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101958</xdr:colOff>
      <xdr:row>271</xdr:row>
      <xdr:rowOff>71238</xdr:rowOff>
    </xdr:from>
    <xdr:to>
      <xdr:col>10</xdr:col>
      <xdr:colOff>263958</xdr:colOff>
      <xdr:row>271</xdr:row>
      <xdr:rowOff>233238</xdr:rowOff>
    </xdr:to>
    <xdr:cxnSp macro="">
      <xdr:nvCxnSpPr>
        <xdr:cNvPr id="26" name="ตัวเชื่อมต่อตรง 25">
          <a:extLst>
            <a:ext uri="{FF2B5EF4-FFF2-40B4-BE49-F238E27FC236}">
              <a16:creationId xmlns="" xmlns:a16="http://schemas.microsoft.com/office/drawing/2014/main" id="{00000000-0008-0000-0800-00001A000000}"/>
            </a:ext>
          </a:extLst>
        </xdr:cNvPr>
        <xdr:cNvCxnSpPr/>
      </xdr:nvCxnSpPr>
      <xdr:spPr>
        <a:xfrm flipV="1">
          <a:off x="101958" y="61307463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264</xdr:row>
      <xdr:rowOff>71238</xdr:rowOff>
    </xdr:from>
    <xdr:to>
      <xdr:col>0</xdr:col>
      <xdr:colOff>263958</xdr:colOff>
      <xdr:row>264</xdr:row>
      <xdr:rowOff>233238</xdr:rowOff>
    </xdr:to>
    <xdr:cxnSp macro="">
      <xdr:nvCxnSpPr>
        <xdr:cNvPr id="27" name="ตัวเชื่อมต่อตรง 26">
          <a:extLst>
            <a:ext uri="{FF2B5EF4-FFF2-40B4-BE49-F238E27FC236}">
              <a16:creationId xmlns="" xmlns:a16="http://schemas.microsoft.com/office/drawing/2014/main" id="{00000000-0008-0000-0800-00001B000000}"/>
            </a:ext>
          </a:extLst>
        </xdr:cNvPr>
        <xdr:cNvCxnSpPr/>
      </xdr:nvCxnSpPr>
      <xdr:spPr>
        <a:xfrm flipV="1">
          <a:off x="101958" y="562877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265</xdr:row>
      <xdr:rowOff>71238</xdr:rowOff>
    </xdr:from>
    <xdr:to>
      <xdr:col>0</xdr:col>
      <xdr:colOff>263958</xdr:colOff>
      <xdr:row>265</xdr:row>
      <xdr:rowOff>233238</xdr:rowOff>
    </xdr:to>
    <xdr:cxnSp macro="">
      <xdr:nvCxnSpPr>
        <xdr:cNvPr id="28" name="ตัวเชื่อมต่อตรง 27">
          <a:extLst>
            <a:ext uri="{FF2B5EF4-FFF2-40B4-BE49-F238E27FC236}">
              <a16:creationId xmlns="" xmlns:a16="http://schemas.microsoft.com/office/drawing/2014/main" id="{00000000-0008-0000-0800-00001C000000}"/>
            </a:ext>
          </a:extLst>
        </xdr:cNvPr>
        <xdr:cNvCxnSpPr/>
      </xdr:nvCxnSpPr>
      <xdr:spPr>
        <a:xfrm flipV="1">
          <a:off x="101958" y="565354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266</xdr:row>
      <xdr:rowOff>71238</xdr:rowOff>
    </xdr:from>
    <xdr:to>
      <xdr:col>0</xdr:col>
      <xdr:colOff>263958</xdr:colOff>
      <xdr:row>266</xdr:row>
      <xdr:rowOff>233238</xdr:rowOff>
    </xdr:to>
    <xdr:cxnSp macro="">
      <xdr:nvCxnSpPr>
        <xdr:cNvPr id="29" name="ตัวเชื่อมต่อตรง 28">
          <a:extLst>
            <a:ext uri="{FF2B5EF4-FFF2-40B4-BE49-F238E27FC236}">
              <a16:creationId xmlns="" xmlns:a16="http://schemas.microsoft.com/office/drawing/2014/main" id="{00000000-0008-0000-0800-00001D000000}"/>
            </a:ext>
          </a:extLst>
        </xdr:cNvPr>
        <xdr:cNvCxnSpPr/>
      </xdr:nvCxnSpPr>
      <xdr:spPr>
        <a:xfrm flipV="1">
          <a:off x="101958" y="567830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267</xdr:row>
      <xdr:rowOff>71238</xdr:rowOff>
    </xdr:from>
    <xdr:to>
      <xdr:col>0</xdr:col>
      <xdr:colOff>263958</xdr:colOff>
      <xdr:row>267</xdr:row>
      <xdr:rowOff>233238</xdr:rowOff>
    </xdr:to>
    <xdr:cxnSp macro="">
      <xdr:nvCxnSpPr>
        <xdr:cNvPr id="30" name="ตัวเชื่อมต่อตรง 29">
          <a:extLst>
            <a:ext uri="{FF2B5EF4-FFF2-40B4-BE49-F238E27FC236}">
              <a16:creationId xmlns="" xmlns:a16="http://schemas.microsoft.com/office/drawing/2014/main" id="{00000000-0008-0000-0800-00001E000000}"/>
            </a:ext>
          </a:extLst>
        </xdr:cNvPr>
        <xdr:cNvCxnSpPr/>
      </xdr:nvCxnSpPr>
      <xdr:spPr>
        <a:xfrm flipV="1">
          <a:off x="101958" y="570307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268</xdr:row>
      <xdr:rowOff>71238</xdr:rowOff>
    </xdr:from>
    <xdr:to>
      <xdr:col>0</xdr:col>
      <xdr:colOff>263958</xdr:colOff>
      <xdr:row>268</xdr:row>
      <xdr:rowOff>233238</xdr:rowOff>
    </xdr:to>
    <xdr:cxnSp macro="">
      <xdr:nvCxnSpPr>
        <xdr:cNvPr id="31" name="ตัวเชื่อมต่อตรง 30">
          <a:extLst>
            <a:ext uri="{FF2B5EF4-FFF2-40B4-BE49-F238E27FC236}">
              <a16:creationId xmlns="" xmlns:a16="http://schemas.microsoft.com/office/drawing/2014/main" id="{00000000-0008-0000-0800-00001F000000}"/>
            </a:ext>
          </a:extLst>
        </xdr:cNvPr>
        <xdr:cNvCxnSpPr/>
      </xdr:nvCxnSpPr>
      <xdr:spPr>
        <a:xfrm flipV="1">
          <a:off x="101958" y="572783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269</xdr:row>
      <xdr:rowOff>71238</xdr:rowOff>
    </xdr:from>
    <xdr:to>
      <xdr:col>0</xdr:col>
      <xdr:colOff>263958</xdr:colOff>
      <xdr:row>269</xdr:row>
      <xdr:rowOff>233238</xdr:rowOff>
    </xdr:to>
    <xdr:cxnSp macro="">
      <xdr:nvCxnSpPr>
        <xdr:cNvPr id="32" name="ตัวเชื่อมต่อตรง 31">
          <a:extLst>
            <a:ext uri="{FF2B5EF4-FFF2-40B4-BE49-F238E27FC236}">
              <a16:creationId xmlns="" xmlns:a16="http://schemas.microsoft.com/office/drawing/2014/main" id="{00000000-0008-0000-0800-000020000000}"/>
            </a:ext>
          </a:extLst>
        </xdr:cNvPr>
        <xdr:cNvCxnSpPr/>
      </xdr:nvCxnSpPr>
      <xdr:spPr>
        <a:xfrm flipV="1">
          <a:off x="101958" y="575260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270</xdr:row>
      <xdr:rowOff>71238</xdr:rowOff>
    </xdr:from>
    <xdr:to>
      <xdr:col>0</xdr:col>
      <xdr:colOff>263958</xdr:colOff>
      <xdr:row>270</xdr:row>
      <xdr:rowOff>233238</xdr:rowOff>
    </xdr:to>
    <xdr:cxnSp macro="">
      <xdr:nvCxnSpPr>
        <xdr:cNvPr id="33" name="ตัวเชื่อมต่อตรง 32">
          <a:extLst>
            <a:ext uri="{FF2B5EF4-FFF2-40B4-BE49-F238E27FC236}">
              <a16:creationId xmlns="" xmlns:a16="http://schemas.microsoft.com/office/drawing/2014/main" id="{00000000-0008-0000-0800-000021000000}"/>
            </a:ext>
          </a:extLst>
        </xdr:cNvPr>
        <xdr:cNvCxnSpPr/>
      </xdr:nvCxnSpPr>
      <xdr:spPr>
        <a:xfrm flipV="1">
          <a:off x="101958" y="577736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271</xdr:row>
      <xdr:rowOff>71238</xdr:rowOff>
    </xdr:from>
    <xdr:to>
      <xdr:col>0</xdr:col>
      <xdr:colOff>263958</xdr:colOff>
      <xdr:row>271</xdr:row>
      <xdr:rowOff>233238</xdr:rowOff>
    </xdr:to>
    <xdr:cxnSp macro="">
      <xdr:nvCxnSpPr>
        <xdr:cNvPr id="34" name="ตัวเชื่อมต่อตรง 33">
          <a:extLst>
            <a:ext uri="{FF2B5EF4-FFF2-40B4-BE49-F238E27FC236}">
              <a16:creationId xmlns="" xmlns:a16="http://schemas.microsoft.com/office/drawing/2014/main" id="{00000000-0008-0000-0800-000022000000}"/>
            </a:ext>
          </a:extLst>
        </xdr:cNvPr>
        <xdr:cNvCxnSpPr/>
      </xdr:nvCxnSpPr>
      <xdr:spPr>
        <a:xfrm flipV="1">
          <a:off x="101958" y="580213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273</xdr:row>
      <xdr:rowOff>71238</xdr:rowOff>
    </xdr:from>
    <xdr:to>
      <xdr:col>0</xdr:col>
      <xdr:colOff>263958</xdr:colOff>
      <xdr:row>273</xdr:row>
      <xdr:rowOff>233238</xdr:rowOff>
    </xdr:to>
    <xdr:cxnSp macro="">
      <xdr:nvCxnSpPr>
        <xdr:cNvPr id="35" name="ตัวเชื่อมต่อตรง 34">
          <a:extLst>
            <a:ext uri="{FF2B5EF4-FFF2-40B4-BE49-F238E27FC236}">
              <a16:creationId xmlns="" xmlns:a16="http://schemas.microsoft.com/office/drawing/2014/main" id="{00000000-0008-0000-0800-000023000000}"/>
            </a:ext>
          </a:extLst>
        </xdr:cNvPr>
        <xdr:cNvCxnSpPr/>
      </xdr:nvCxnSpPr>
      <xdr:spPr>
        <a:xfrm flipV="1">
          <a:off x="101958" y="585166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274</xdr:row>
      <xdr:rowOff>71238</xdr:rowOff>
    </xdr:from>
    <xdr:to>
      <xdr:col>0</xdr:col>
      <xdr:colOff>263958</xdr:colOff>
      <xdr:row>274</xdr:row>
      <xdr:rowOff>233238</xdr:rowOff>
    </xdr:to>
    <xdr:cxnSp macro="">
      <xdr:nvCxnSpPr>
        <xdr:cNvPr id="36" name="ตัวเชื่อมต่อตรง 35">
          <a:extLst>
            <a:ext uri="{FF2B5EF4-FFF2-40B4-BE49-F238E27FC236}">
              <a16:creationId xmlns="" xmlns:a16="http://schemas.microsoft.com/office/drawing/2014/main" id="{00000000-0008-0000-0800-000024000000}"/>
            </a:ext>
          </a:extLst>
        </xdr:cNvPr>
        <xdr:cNvCxnSpPr/>
      </xdr:nvCxnSpPr>
      <xdr:spPr>
        <a:xfrm flipV="1">
          <a:off x="101958" y="587642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275</xdr:row>
      <xdr:rowOff>71238</xdr:rowOff>
    </xdr:from>
    <xdr:to>
      <xdr:col>0</xdr:col>
      <xdr:colOff>263958</xdr:colOff>
      <xdr:row>275</xdr:row>
      <xdr:rowOff>233238</xdr:rowOff>
    </xdr:to>
    <xdr:cxnSp macro="">
      <xdr:nvCxnSpPr>
        <xdr:cNvPr id="37" name="ตัวเชื่อมต่อตรง 36">
          <a:extLst>
            <a:ext uri="{FF2B5EF4-FFF2-40B4-BE49-F238E27FC236}">
              <a16:creationId xmlns="" xmlns:a16="http://schemas.microsoft.com/office/drawing/2014/main" id="{00000000-0008-0000-0800-000025000000}"/>
            </a:ext>
          </a:extLst>
        </xdr:cNvPr>
        <xdr:cNvCxnSpPr/>
      </xdr:nvCxnSpPr>
      <xdr:spPr>
        <a:xfrm flipV="1">
          <a:off x="101958" y="590119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276</xdr:row>
      <xdr:rowOff>71238</xdr:rowOff>
    </xdr:from>
    <xdr:to>
      <xdr:col>0</xdr:col>
      <xdr:colOff>263958</xdr:colOff>
      <xdr:row>276</xdr:row>
      <xdr:rowOff>233238</xdr:rowOff>
    </xdr:to>
    <xdr:cxnSp macro="">
      <xdr:nvCxnSpPr>
        <xdr:cNvPr id="38" name="ตัวเชื่อมต่อตรง 37">
          <a:extLst>
            <a:ext uri="{FF2B5EF4-FFF2-40B4-BE49-F238E27FC236}">
              <a16:creationId xmlns="" xmlns:a16="http://schemas.microsoft.com/office/drawing/2014/main" id="{00000000-0008-0000-0800-000026000000}"/>
            </a:ext>
          </a:extLst>
        </xdr:cNvPr>
        <xdr:cNvCxnSpPr/>
      </xdr:nvCxnSpPr>
      <xdr:spPr>
        <a:xfrm flipV="1">
          <a:off x="101958" y="592595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277</xdr:row>
      <xdr:rowOff>71238</xdr:rowOff>
    </xdr:from>
    <xdr:to>
      <xdr:col>0</xdr:col>
      <xdr:colOff>263958</xdr:colOff>
      <xdr:row>277</xdr:row>
      <xdr:rowOff>233238</xdr:rowOff>
    </xdr:to>
    <xdr:cxnSp macro="">
      <xdr:nvCxnSpPr>
        <xdr:cNvPr id="39" name="ตัวเชื่อมต่อตรง 38">
          <a:extLst>
            <a:ext uri="{FF2B5EF4-FFF2-40B4-BE49-F238E27FC236}">
              <a16:creationId xmlns="" xmlns:a16="http://schemas.microsoft.com/office/drawing/2014/main" id="{00000000-0008-0000-0800-000027000000}"/>
            </a:ext>
          </a:extLst>
        </xdr:cNvPr>
        <xdr:cNvCxnSpPr/>
      </xdr:nvCxnSpPr>
      <xdr:spPr>
        <a:xfrm flipV="1">
          <a:off x="101958" y="595072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278</xdr:row>
      <xdr:rowOff>71238</xdr:rowOff>
    </xdr:from>
    <xdr:to>
      <xdr:col>0</xdr:col>
      <xdr:colOff>263958</xdr:colOff>
      <xdr:row>278</xdr:row>
      <xdr:rowOff>233238</xdr:rowOff>
    </xdr:to>
    <xdr:cxnSp macro="">
      <xdr:nvCxnSpPr>
        <xdr:cNvPr id="40" name="ตัวเชื่อมต่อตรง 39">
          <a:extLst>
            <a:ext uri="{FF2B5EF4-FFF2-40B4-BE49-F238E27FC236}">
              <a16:creationId xmlns="" xmlns:a16="http://schemas.microsoft.com/office/drawing/2014/main" id="{00000000-0008-0000-0800-000028000000}"/>
            </a:ext>
          </a:extLst>
        </xdr:cNvPr>
        <xdr:cNvCxnSpPr/>
      </xdr:nvCxnSpPr>
      <xdr:spPr>
        <a:xfrm flipV="1">
          <a:off x="101958" y="597548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279</xdr:row>
      <xdr:rowOff>71238</xdr:rowOff>
    </xdr:from>
    <xdr:to>
      <xdr:col>0</xdr:col>
      <xdr:colOff>263958</xdr:colOff>
      <xdr:row>279</xdr:row>
      <xdr:rowOff>233238</xdr:rowOff>
    </xdr:to>
    <xdr:cxnSp macro="">
      <xdr:nvCxnSpPr>
        <xdr:cNvPr id="41" name="ตัวเชื่อมต่อตรง 40">
          <a:extLst>
            <a:ext uri="{FF2B5EF4-FFF2-40B4-BE49-F238E27FC236}">
              <a16:creationId xmlns="" xmlns:a16="http://schemas.microsoft.com/office/drawing/2014/main" id="{00000000-0008-0000-0800-000029000000}"/>
            </a:ext>
          </a:extLst>
        </xdr:cNvPr>
        <xdr:cNvCxnSpPr/>
      </xdr:nvCxnSpPr>
      <xdr:spPr>
        <a:xfrm flipV="1">
          <a:off x="101958" y="6000253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101958</xdr:colOff>
      <xdr:row>280</xdr:row>
      <xdr:rowOff>71238</xdr:rowOff>
    </xdr:from>
    <xdr:to>
      <xdr:col>0</xdr:col>
      <xdr:colOff>263958</xdr:colOff>
      <xdr:row>280</xdr:row>
      <xdr:rowOff>233238</xdr:rowOff>
    </xdr:to>
    <xdr:cxnSp macro="">
      <xdr:nvCxnSpPr>
        <xdr:cNvPr id="42" name="ตัวเชื่อมต่อตรง 41">
          <a:extLst>
            <a:ext uri="{FF2B5EF4-FFF2-40B4-BE49-F238E27FC236}">
              <a16:creationId xmlns="" xmlns:a16="http://schemas.microsoft.com/office/drawing/2014/main" id="{00000000-0008-0000-0800-00002A000000}"/>
            </a:ext>
          </a:extLst>
        </xdr:cNvPr>
        <xdr:cNvCxnSpPr/>
      </xdr:nvCxnSpPr>
      <xdr:spPr>
        <a:xfrm flipV="1">
          <a:off x="101958" y="60250188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1000125</xdr:colOff>
      <xdr:row>74</xdr:row>
      <xdr:rowOff>66675</xdr:rowOff>
    </xdr:from>
    <xdr:to>
      <xdr:col>1</xdr:col>
      <xdr:colOff>1162125</xdr:colOff>
      <xdr:row>74</xdr:row>
      <xdr:rowOff>228675</xdr:rowOff>
    </xdr:to>
    <xdr:cxnSp macro="">
      <xdr:nvCxnSpPr>
        <xdr:cNvPr id="2" name="ตัวเชื่อมต่อตรง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75</xdr:row>
      <xdr:rowOff>66675</xdr:rowOff>
    </xdr:from>
    <xdr:to>
      <xdr:col>1</xdr:col>
      <xdr:colOff>1162125</xdr:colOff>
      <xdr:row>75</xdr:row>
      <xdr:rowOff>228675</xdr:rowOff>
    </xdr:to>
    <xdr:cxnSp macro="">
      <xdr:nvCxnSpPr>
        <xdr:cNvPr id="3" name="ตัวเชื่อมต่อตรง 2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76</xdr:row>
      <xdr:rowOff>66675</xdr:rowOff>
    </xdr:from>
    <xdr:to>
      <xdr:col>1</xdr:col>
      <xdr:colOff>1162125</xdr:colOff>
      <xdr:row>76</xdr:row>
      <xdr:rowOff>228675</xdr:rowOff>
    </xdr:to>
    <xdr:cxnSp macro="">
      <xdr:nvCxnSpPr>
        <xdr:cNvPr id="4" name="ตัวเชื่อมต่อตรง 3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77</xdr:row>
      <xdr:rowOff>66675</xdr:rowOff>
    </xdr:from>
    <xdr:to>
      <xdr:col>1</xdr:col>
      <xdr:colOff>1162125</xdr:colOff>
      <xdr:row>77</xdr:row>
      <xdr:rowOff>228675</xdr:rowOff>
    </xdr:to>
    <xdr:cxnSp macro="">
      <xdr:nvCxnSpPr>
        <xdr:cNvPr id="5" name="ตัวเชื่อมต่อตรง 4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78</xdr:row>
      <xdr:rowOff>66675</xdr:rowOff>
    </xdr:from>
    <xdr:to>
      <xdr:col>1</xdr:col>
      <xdr:colOff>1162125</xdr:colOff>
      <xdr:row>78</xdr:row>
      <xdr:rowOff>228675</xdr:rowOff>
    </xdr:to>
    <xdr:cxnSp macro="">
      <xdr:nvCxnSpPr>
        <xdr:cNvPr id="6" name="ตัวเชื่อมต่อตรง 5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79</xdr:row>
      <xdr:rowOff>66675</xdr:rowOff>
    </xdr:from>
    <xdr:to>
      <xdr:col>1</xdr:col>
      <xdr:colOff>1162125</xdr:colOff>
      <xdr:row>79</xdr:row>
      <xdr:rowOff>228675</xdr:rowOff>
    </xdr:to>
    <xdr:cxnSp macro="">
      <xdr:nvCxnSpPr>
        <xdr:cNvPr id="7" name="ตัวเชื่อมต่อตรง 6">
          <a:extLst>
            <a:ext uri="{FF2B5EF4-FFF2-40B4-BE49-F238E27FC236}">
              <a16:creationId xmlns="" xmlns:a16="http://schemas.microsoft.com/office/drawing/2014/main" id="{00000000-0008-0000-0900-000007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80</xdr:row>
      <xdr:rowOff>66675</xdr:rowOff>
    </xdr:from>
    <xdr:to>
      <xdr:col>1</xdr:col>
      <xdr:colOff>1162125</xdr:colOff>
      <xdr:row>80</xdr:row>
      <xdr:rowOff>228675</xdr:rowOff>
    </xdr:to>
    <xdr:cxnSp macro="">
      <xdr:nvCxnSpPr>
        <xdr:cNvPr id="8" name="ตัวเชื่อมต่อตรง 7"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CxnSpPr/>
      </xdr:nvCxnSpPr>
      <xdr:spPr>
        <a:xfrm flipV="1">
          <a:off x="1276350" y="168687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81</xdr:row>
      <xdr:rowOff>66675</xdr:rowOff>
    </xdr:from>
    <xdr:to>
      <xdr:col>1</xdr:col>
      <xdr:colOff>1162125</xdr:colOff>
      <xdr:row>81</xdr:row>
      <xdr:rowOff>228675</xdr:rowOff>
    </xdr:to>
    <xdr:cxnSp macro="">
      <xdr:nvCxnSpPr>
        <xdr:cNvPr id="9" name="ตัวเชื่อมต่อตรง 8">
          <a:extLst>
            <a:ext uri="{FF2B5EF4-FFF2-40B4-BE49-F238E27FC236}">
              <a16:creationId xmlns="" xmlns:a16="http://schemas.microsoft.com/office/drawing/2014/main" id="{00000000-0008-0000-0900-000009000000}"/>
            </a:ext>
          </a:extLst>
        </xdr:cNvPr>
        <xdr:cNvCxnSpPr/>
      </xdr:nvCxnSpPr>
      <xdr:spPr>
        <a:xfrm flipV="1">
          <a:off x="1276350" y="18468975"/>
          <a:ext cx="162000" cy="162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77</xdr:col>
      <xdr:colOff>0</xdr:colOff>
      <xdr:row>37</xdr:row>
      <xdr:rowOff>228600</xdr:rowOff>
    </xdr:from>
    <xdr:to>
      <xdr:col>80</xdr:col>
      <xdr:colOff>0</xdr:colOff>
      <xdr:row>37</xdr:row>
      <xdr:rowOff>228600</xdr:rowOff>
    </xdr:to>
    <xdr:sp macro="" textlink="">
      <xdr:nvSpPr>
        <xdr:cNvPr id="2" name="Line 4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10868025" y="10191750"/>
          <a:ext cx="2028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180975</xdr:colOff>
      <xdr:row>9</xdr:row>
      <xdr:rowOff>133350</xdr:rowOff>
    </xdr:from>
    <xdr:to>
      <xdr:col>37</xdr:col>
      <xdr:colOff>66675</xdr:colOff>
      <xdr:row>41</xdr:row>
      <xdr:rowOff>28575</xdr:rowOff>
    </xdr:to>
    <xdr:graphicFrame macro="">
      <xdr:nvGraphicFramePr>
        <xdr:cNvPr id="2" name="Chart 5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50</xdr:col>
      <xdr:colOff>52424</xdr:colOff>
      <xdr:row>18</xdr:row>
      <xdr:rowOff>0</xdr:rowOff>
    </xdr:from>
    <xdr:to>
      <xdr:col>54</xdr:col>
      <xdr:colOff>638174</xdr:colOff>
      <xdr:row>18</xdr:row>
      <xdr:rowOff>0</xdr:rowOff>
    </xdr:to>
    <xdr:cxnSp macro="">
      <xdr:nvCxnSpPr>
        <xdr:cNvPr id="4" name="ตัวเชื่อมต่อตรง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CxnSpPr/>
      </xdr:nvCxnSpPr>
      <xdr:spPr>
        <a:xfrm rot="10800000" flipH="1">
          <a:off x="9586949" y="4505325"/>
          <a:ext cx="3348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52424</xdr:colOff>
      <xdr:row>17</xdr:row>
      <xdr:rowOff>0</xdr:rowOff>
    </xdr:from>
    <xdr:to>
      <xdr:col>24</xdr:col>
      <xdr:colOff>638174</xdr:colOff>
      <xdr:row>17</xdr:row>
      <xdr:rowOff>0</xdr:rowOff>
    </xdr:to>
    <xdr:cxnSp macro="">
      <xdr:nvCxnSpPr>
        <xdr:cNvPr id="4" name="ตัวเชื่อมต่อตรง 3">
          <a:extLst>
            <a:ext uri="{FF2B5EF4-FFF2-40B4-BE49-F238E27FC236}">
              <a16:creationId xmlns="" xmlns:a16="http://schemas.microsoft.com/office/drawing/2014/main" id="{00000000-0008-0000-1000-000004000000}"/>
            </a:ext>
          </a:extLst>
        </xdr:cNvPr>
        <xdr:cNvCxnSpPr/>
      </xdr:nvCxnSpPr>
      <xdr:spPr>
        <a:xfrm rot="10800000" flipH="1">
          <a:off x="9586949" y="4505325"/>
          <a:ext cx="3348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Application%20Data/Microsoft/Excel/My%20Apainukool/&#3649;&#3615;&#3657;&#3617;&#3591;&#3634;&#3609;&#3629;&#3640;&#3650;&#3617;&#3591;&#3588;&#3660;&#3607;&#3634;&#3591;&#3621;&#3629;&#3604;(&#3623;&#3591;&#3648;&#3623;&#3637;&#3618;&#3609;&#3619;&#3634;&#3594;&#3614;&#3620;&#3585;&#3625;&#3660;-%20&#3609;&#3588;&#3619;&#3629;&#3636;&#3609;&#3607;&#3619;&#3660;)/rachaphruek_tunnel(BACKUP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591;&#3634;&#3609;&#3611;&#3619;&#3632;&#3617;&#3634;&#3603;&#3619;&#3634;&#3588;&#3634;/&#3649;&#3610;&#3610;&#3615;&#3629;&#3619;&#3660;&#3617;/&#3591;&#3634;&#3609;&#3629;&#3635;&#3609;&#3623;&#3618;&#3585;&#3634;&#3619;/My%20Apainukool/&#3649;&#3615;&#3657;&#3617;&#3591;&#3634;&#3609;&#3629;&#3640;&#3650;&#3617;&#3591;&#3588;&#3660;&#3607;&#3634;&#3591;&#3621;&#3629;&#3604;(&#3623;&#3591;&#3648;&#3623;&#3637;&#3618;&#3609;&#3619;&#3634;&#3594;&#3614;&#3620;&#3585;&#3625;&#3660;-%20&#3609;&#3588;&#3619;&#3629;&#3636;&#3609;&#3607;&#3619;&#3660;)/rachaphruek_tunnel(BACKUP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tawut\shared%20docs\&#3619;&#3634;&#3588;&#3634;&#3585;&#3621;&#3634;&#3591;_2550\2_&#3618;&#3585;&#3619;&#3632;&#3604;&#3633;&#3610;2550\&#3618;&#3585;&#3619;&#3632;&#3604;&#3633;&#3610;&#3651;&#3627;&#3657;&#3607;&#3594;\12_&#3609;&#3634;&#3591;&#3614;&#3619;&#3632;&#3618;&#3634;AC_&#3626;&#3632;&#3614;&#3634;&#3609;_OK2550_prin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tawut\shared%20docs\Documents%20and%20Settings\ATTAWUT.ENGR01\Desktop\&#3611;&#3619;&#3632;&#3617;&#3634;&#3603;&#3619;&#3634;&#3588;&#3634;&#3621;&#3634;&#3604;&#3618;&#3634;&#3591;(&#3605;&#3657;&#3609;&#3649;&#3610;&#3610;)\0_1%20&#3585;&#3617;(&#3617;&#3637;box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tawut\shared%20docs\&#3611;&#3619;&#3632;&#3617;&#3634;&#3603;&#3619;&#3634;&#3588;&#3634;&#3621;&#3634;&#3604;&#3618;&#3634;&#3591;(&#3605;&#3657;&#3609;&#3649;&#3610;&#3610;)\0_1%20&#3585;&#3617;(&#3617;&#3637;box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591;&#3634;&#3609;&#3611;&#3619;&#3632;&#3617;&#3634;&#3603;&#3619;&#3634;&#3588;&#3634;/&#3649;&#3610;&#3610;&#3615;&#3629;&#3619;&#3660;&#3617;/&#3591;&#3634;&#3609;&#3629;&#3635;&#3609;&#3623;&#3618;&#3585;&#3634;&#3619;/&#3623;&#3636;&#3594;&#3634;&#3585;&#3634;&#3619;&#3607;&#3634;&#3591;&#3627;&#3621;&#3623;&#3591;&#3594;&#3609;&#3610;&#3607;/&#3629;&#3610;&#3619;&#3617;%20&#3607;&#3594;/&#3585;&#3634;&#3619;&#3611;&#3619;&#3632;&#3617;&#3634;&#3603;&#3619;&#3634;&#3588;&#3634;&#3591;&#3634;&#3609;&#3585;&#3656;&#3629;&#3626;&#3619;&#3657;&#3634;&#3591;&#3607;&#3634;&#3591;&#3649;&#3621;&#3632;&#3626;&#3632;&#3614;&#3634;&#3609;%20&#3619;&#3640;&#3656;&#3609;&#3607;&#3637;&#3656;%20&#3666;(&#3666;&#3669;&#3669;&#3668;)/&#3592;&#3634;&#3585;%20%20HANDY%20DRIVE/&#3611;&#3619;&#3632;&#3617;&#3634;&#3603;&#3619;&#3634;&#3588;&#3634;&#3591;&#3634;&#3609;&#3626;&#3632;&#3614;&#3634;&#3609;&#3621;&#3623;.&#3666;&#3664;&#3648;&#3617;&#3618;.&#3669;&#3668;/form_&#3626;&#3619;&#3640;&#3611;&#3591;&#3634;&#3609;&#3626;&#3632;&#3614;&#3634;&#3609;&amp;&#3607;&#3634;&#3591;(&#3611;&#3619;.&#3669;,&#3611;&#3619;.&#3668;,&#3610;&#3633;&#3597;&#3594;&#3637;&#3631;)'&#3669;&#3668;,&#3611;&#3619;&#3633;&#3610;&#3611;&#3619;&#3640;&#3591;&#3619;&#3634;&#3588;&#3634;&#3605;&#3656;&#3629;&#3627;&#360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2000\shared%20docs\Documents%20and%20Settings\NEXT%20Speed(R)\Desktop\Master_ROAD%20&amp;%20BOX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591;&#3634;&#3609;&#3611;&#3619;&#3632;&#3617;&#3634;&#3603;&#3619;&#3634;&#3588;&#3634;/&#3649;&#3610;&#3610;&#3615;&#3629;&#3619;&#3660;&#3617;/&#3591;&#3634;&#3609;&#3629;&#3635;&#3609;&#3623;&#3618;&#3585;&#3634;&#3619;/My%20Apainukool%20Addwork/(8)&#3649;&#3615;&#3657;&#3617;&#3591;&#3634;&#3609;&#3606;&#3609;&#3609;&#3648;&#3621;&#3637;&#3656;&#3618;&#3591;&#3648;&#3617;&#3639;&#3629;&#3591;(&#3612;&#3633;&#3591;&#3648;&#3617;&#3639;&#3629;&#3591;&#3619;&#3623;&#3617;),&#3629;&#3639;&#3656;&#3609;&#3654;/(2)&#3605;&#3633;&#3623;&#3629;&#3618;&#3656;&#3634;&#3591;&#3591;&#3634;&#3609;&#3605;&#3657;&#3609;&#3607;&#3640;&#3609;&#3591;&#3634;&#3609;&#3606;&#3609;&#3609;&#3612;&#3633;&#3591;&#3648;&#3617;&#3639;&#3629;&#3591;&#3619;&#3623;&#3617;/form_backup%23&#3591;&#3634;&#3609;&#3585;&#3656;&#3629;&#3626;&#3619;&#3657;&#3634;&#3591;,&#3611;&#3619;&#3633;&#3610;&#3611;&#3619;&#3640;&#3591;&#3607;&#3634;&#3591;&#3619;&#3606;&#3652;&#3615;&#3626;&#3634;&#3618;&#3648;&#3585;&#3656;&#3634;/Cost_&#3626;&#3617;&#3640;&#3607;&#3619;&#3611;&#3619;&#3634;&#3585;&#3634;&#3619;V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NPD/&#3591;&#3610;&#3611;&#3637;%202557/&#3591;&#3634;&#3609;&#3618;&#3585;&#3619;&#3632;&#3604;&#3633;&#3610;&#3617;&#3634;&#3605;&#3619;&#3600;&#3634;&#3609;&#3607;&#3634;&#3591;/2.&#3614;&#3607;.4046%20&#3649;&#3618;&#3585;&#3607;&#3621;.4049%20(&#3585;&#3617;.15+300)%20-%20&#3610;.&#3588;&#3623;&#3609;&#3614;&#3619;&#3632;/3.&#3611;&#3619;&#3632;&#3617;&#3634;&#3603;&#3619;&#3634;&#3588;&#3634;/(case%20II%208%20m.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2000\shared%20docs\0.001_&#3611;&#3619;.2554_&#3619;&#3634;&#3588;&#3634;&#3585;&#3621;&#3634;&#3591;\0_Program_54\0.1__CHECK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2000\shared%20docs\0.001_&#3611;&#3619;.2554_&#3619;&#3634;&#3588;&#3634;&#3585;&#3621;&#3634;&#3591;\01_&#3611;&#3619;.2554_&#3610;&#3635;&#3619;&#3640;&#3591;&#3607;&#3634;&#3591;\Boq03.1_&#3593;&#3634;&#3610;&#3612;&#3636;&#3623;CS_&#3594;&#3634;&#3618;&#3607;&#3632;&#3648;&#3621;_5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619;&#3634;&#3588;&#3634;&#3585;&#3621;&#3634;&#3591;/&#3619;&#3634;&#3588;&#3634;&#3585;&#3621;&#3634;&#3591;&#3649;&#3611;&#3619;&#3597;&#3633;&#3605;&#3605;&#3636;/&#3624;&#3634;&#3621;&#3634;&#3605;&#3635;&#3648;&#3626;&#3634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NPD/&#3591;&#3610;&#3611;&#3637;%202555/&#3595;&#3656;&#3629;&#3617;&#3615;&#3639;&#3657;&#3609;&#3615;&#3641;&#3592;&#3634;&#3585;&#3648;&#3627;&#3605;&#3640;&#3629;&#3640;&#3607;&#3585;&#3616;&#3633;&#3618;/&#3619;&#3634;&#3588;&#3634;&#3585;&#3621;&#3634;&#3591;/&#3614;&#3607;.4032%20&#3649;&#3618;&#3585;&#3607;&#3621;.4081-&#3610;.&#3588;&#3623;&#3609;&#3650;&#3585;/&#3614;&#3607;.4032%20&#3649;&#3618;&#3585;&#3607;&#3621;.4081-&#3610;.&#3588;&#3623;&#3609;&#3650;&#3585;%20(&#3619;&#3634;&#3588;&#3634;&#3585;&#3621;&#3634;&#3591;&#3651;&#3627;&#3617;&#3656;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2000\shared%20docs\0.02_&#3611;&#3619;.2553_&#3619;&#3634;&#3588;&#3634;&#3585;&#3621;&#3634;&#3591;\03_&#3619;&#3634;&#3588;&#3634;&#3585;&#3621;&#3634;&#3591;_&#3591;&#3610;&#3610;&#3635;&#3619;&#3640;&#3591;&#3650;&#3588;&#3619;&#3591;&#3586;&#3656;&#3634;&#3618;_53\B1_&#3609;&#3624;.4029_&#3593;&#3634;&#3610;&#3612;&#3636;&#3623;CS&#3626;&#3619;&#3632;&#3585;&#3635;_2552_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591;&#3634;&#3609;&#3611;&#3619;&#3632;&#3617;&#3634;&#3603;&#3619;&#3634;&#3588;&#3634;/&#3649;&#3610;&#3610;&#3615;&#3629;&#3619;&#3660;&#3617;/&#3591;&#3634;&#3609;&#3629;&#3635;&#3609;&#3623;&#3618;&#3585;&#3634;&#3619;/My%20Apainukool,&#3621;&#3623;.&#3666;&#3665;&#3626;&#3588;.&#3669;&#3667;/&#3649;&#3615;&#3657;&#3617;&#3591;&#3634;&#3609;&#3610;.&#3607;&#3637;&#3656;&#3611;&#3619;&#3638;&#3585;&#3625;&#3634;&#3610;.&#3626;&#3618;&#3634;&#3617;&#3648;&#3618;&#3609;&#3648;&#3609;&#3629;&#3619;&#3633;&#3621;&amp;&#3585;&#3619;&#3640;&#3658;&#3611;'&#3669;&#3668;/&#3665;.&#3626;.&#3586;&#3657;&#3634;&#3617;&#3621;&#3635;&#3627;&#3657;&#3623;&#3618;&#3621;&#3638;&#3585;%20&#3592;.&#3610;&#3640;&#3619;&#3637;&#3619;&#3633;&#3617;&#3618;&#3660;(&#3629;.&#3588;&#3641;&#3648;&#3617;&#3639;&#3629;&#3591;~&#3605;.&#3605;&#3641;&#3617;&#3651;&#3627;&#3597;&#3656;)smyn'54/&#3626;&#3619;&#3640;&#3611;&#3591;&#3634;&#3609;&#3626;&#3632;&#3614;&#3634;&#3609;&amp;&#3607;&#3634;&#3591;(&#3611;&#3619;.&#3669;,&#3611;&#3619;.&#3668;,&#3610;&#3633;&#3597;&#3594;&#3637;&#3631;)&#3592;.&#3610;&#3640;&#3619;&#3637;&#3619;&#3633;&#3617;&#3618;&#3660;(&#3629;.&#3588;&#3641;&#3648;&#3617;&#3639;&#3629;&#3591;)'&#3669;&#3668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tawut\shared%20docs\1_&#3605;&#3657;&#3629;&#3591;&#3626;&#3641;&#3657;\0.1_&#3611;&#3619;.2552\0_&#3611;&#3619;.52\1_&#3609;&#3624;.4054_&#3585;&#3635;&#3649;&#3614;&#3591;&#3606;&#3617;_255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Application%20Data/Microsoft/Excel/&#3612;&#3641;&#3657;&#3651;&#3594;&#3657;&#3607;&#3656;&#3634;&#3609;&#3629;&#3639;&#3656;&#3609;/Banjob/BanjobBk3/P0475&#3585;&#3619;&#3632;&#3607;&#3640;&#3656;&#3617;&#3649;&#3610;&#3609;/Cost/Overpass/Cost_&#3585;&#3619;&#3632;&#3607;&#3640;&#3656;&#3617;&#3649;&#3610;&#3609;_Overpass_R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51;&#3609;&#3626;&#3635;&#3609;&#3633;&#3585;&#3591;&#3634;&#3609;/&#3591;&#3634;&#3609;&#3611;&#3619;&#3632;&#3617;&#3634;&#3603;&#3619;&#3634;&#3588;&#3634;/&#3649;&#3610;&#3610;&#3615;&#3629;&#3619;&#3660;&#3617;/&#3591;&#3634;&#3609;&#3629;&#3635;&#3609;&#3623;&#3618;&#3585;&#3634;&#3619;/&#3612;&#3641;&#3657;&#3651;&#3594;&#3657;&#3607;&#3656;&#3634;&#3609;&#3629;&#3639;&#3656;&#3609;/Banjob/BanjobBk3/P0475&#3585;&#3619;&#3632;&#3607;&#3640;&#3656;&#3617;&#3649;&#3610;&#3609;/Cost/Overpass/Cost_&#3585;&#3619;&#3632;&#3607;&#3640;&#3656;&#3617;&#3649;&#3610;&#3609;_Overpass_R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10;&#3611;&#3637;%202559/2%20&#3591;&#3634;&#3609;&#3610;&#3635;&#3619;&#3640;&#3591;&#3619;&#3633;&#3585;&#3625;&#3634;&#3650;&#3588;&#3619;&#3591;&#3586;&#3656;&#3634;&#3618;&#3607;&#3634;&#3591;/&#3614;&#3637;&#3656;&#3629;&#3657;&#3623;&#3609;%20&#3611;&#3619;&#3632;&#3617;&#3634;&#3603;&#3619;&#3634;&#3588;&#3634;&#3591;&#3634;&#3609;&#3595;&#3656;&#3629;&#3617;%2059/&#3614;&#3607;.4053%20-%20&#3610;.&#3588;&#3623;&#3609;&#3605;&#3632;&#3649;&#3610;&#3585;/3.&#3611;&#3619;&#3632;&#3617;&#3634;&#3603;&#3619;&#3634;&#3588;&#3634;&#3626;&#3634;&#3618;&#3614;&#3607;.4053%20&#3649;&#3618;&#3585;&#3607;&#3621;.4163%20-%20&#3610;.&#3588;&#3623;&#3609;&#3605;&#3632;&#3649;&#3610;&#3585;%20(27-02-58)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upong\&#3611;&#3619;&#3632;&#3617;&#3634;&#3603;&#3585;&#3634;&#3619;&#3617;&#3634;&#3605;&#3619;&#3600;&#3634;&#3609;(DBST)&#3624;&#3641;&#3609;&#3618;&#3639;&#3586;&#3618;&#3634;&#3618;&#3614;&#3633;&#3609;&#3608;&#3660;&#3614;&#3639;&#359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10;&#3611;&#3637;%202560/2%20&#3591;&#3634;&#3609;&#3610;&#3635;&#3619;&#3640;&#3591;&#3619;&#3633;&#3585;&#3625;&#3634;&#3619;&#3632;&#3610;&#3610;&#3650;&#3588;&#3619;&#3591;&#3586;&#3656;&#3634;&#3618;&#3607;&#3634;&#3591;/3%20&#3610;&#3635;&#3619;&#3640;&#3591;&#3614;&#3636;&#3648;&#3624;&#3625;/9%20&#3614;&#3607;.2016%20&#3649;&#3618;&#3585;%20&#3607;&#3621;.41%20-%20&#3610;&#3657;&#3634;&#3609;&#3627;&#3633;&#3626;&#3588;&#3640;&#3603;%20(&#3619;&#3632;&#3610;&#3610;&#3619;&#3632;&#3610;&#3634;&#3618;&#3609;&#3657;&#3635;&#3586;&#3657;&#3634;&#3591;&#3607;&#3634;&#3591;%20BOX)/3%20&#3611;&#3619;&#3632;&#3617;&#3634;&#3603;&#3619;&#3634;&#3588;&#3634;/&#3611;&#3619;&#3632;&#3617;&#3634;&#3603;&#3619;&#3634;&#3588;&#3634;%20&#3614;&#3607;.2016%20-%20&#3610;.&#3627;&#3626;&#3633;&#3588;&#3640;&#3603;%20REV1%20(19-04-59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wit/AppData/Roaming/Microsoft/Excel/&#3591;&#3634;&#3609;&#3648;&#3626;&#3619;&#3655;&#3592;&#3649;&#3621;&#3657;&#3623;/&#3626;&#3632;&#3614;&#3634;&#3609;&#3586;&#3657;&#3634;&#3617;&#3649;&#3617;&#3656;&#3609;&#3657;&#3635;&#3592;&#3633;&#3585;&#3619;&#3619;&#3634;&#3594;%20&#3650;&#3588;&#3619;&#3634;&#359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รายการแก้ไข"/>
      <sheetName val="INPUT"/>
      <sheetName val="สารบัญ"/>
      <sheetName val="กั้นหน้า"/>
      <sheetName val="ปร5"/>
      <sheetName val="ปร4"/>
      <sheetName val="ปร4.1"/>
      <sheetName val="หา FACTORF"/>
      <sheetName val="งานทั่วไป1"/>
      <sheetName val="ราคาต่อหน่วย2-9"/>
      <sheetName val="ราคาต่อหน่วย10"/>
      <sheetName val="ราคาต่อหน่วย11"/>
      <sheetName val="กราฟทำงาน"/>
      <sheetName val="Worktime"/>
      <sheetName val="ราคาวัสดุ"/>
      <sheetName val="OHCทาง"/>
      <sheetName val="OHCโครงสร้าง"/>
      <sheetName val="อัตราทำงาน"/>
      <sheetName val="ค่าขนส่ง(กรอก)"/>
      <sheetName val="ตารางขนส่ง(1)"/>
      <sheetName val="ตารางขนส่ง (2)"/>
      <sheetName val="ตารางFACTOR Fทาง"/>
      <sheetName val="ตารางFACTOR Fสะพาน"/>
      <sheetName val="เริ่มต้น"/>
      <sheetName val="บทที่1"/>
      <sheetName val="บทที่3"/>
      <sheetName val="บทที่3(2)"/>
      <sheetName val="จัดเครื่องจักรทาง"/>
      <sheetName val="อ้างอิง"/>
      <sheetName val="Bid_1"/>
      <sheetName val="Bid_2"/>
      <sheetName val="เปรียบเทียบราคาไฟฟ้า"/>
      <sheetName val="เอกสารสัมพันธ์"/>
      <sheetName val="ขั้นตอ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>
        <row r="4">
          <cell r="J4">
            <v>1.07</v>
          </cell>
        </row>
        <row r="12">
          <cell r="J12">
            <v>1.1327</v>
          </cell>
        </row>
        <row r="20">
          <cell r="J20">
            <v>1.1378999999999999</v>
          </cell>
        </row>
      </sheetData>
      <sheetData sheetId="9" refreshError="1"/>
      <sheetData sheetId="10">
        <row r="869">
          <cell r="Q869">
            <v>2376</v>
          </cell>
        </row>
        <row r="880">
          <cell r="Q880">
            <v>2311</v>
          </cell>
        </row>
        <row r="892">
          <cell r="Q892">
            <v>2290</v>
          </cell>
        </row>
        <row r="904">
          <cell r="Q904">
            <v>2276</v>
          </cell>
        </row>
        <row r="928">
          <cell r="Q928">
            <v>2047</v>
          </cell>
        </row>
        <row r="940">
          <cell r="Q940">
            <v>2050</v>
          </cell>
        </row>
        <row r="966">
          <cell r="Q966">
            <v>260</v>
          </cell>
        </row>
        <row r="980">
          <cell r="Q980">
            <v>234</v>
          </cell>
        </row>
        <row r="997">
          <cell r="Q997">
            <v>396</v>
          </cell>
        </row>
        <row r="1011">
          <cell r="Q1011">
            <v>975</v>
          </cell>
        </row>
        <row r="1025">
          <cell r="Q1025">
            <v>975</v>
          </cell>
        </row>
        <row r="1228">
          <cell r="Q1228">
            <v>24655</v>
          </cell>
        </row>
        <row r="1239">
          <cell r="Q1239">
            <v>25875</v>
          </cell>
        </row>
        <row r="2252">
          <cell r="Q2252">
            <v>9720</v>
          </cell>
        </row>
        <row r="2271">
          <cell r="Q2271">
            <v>11780</v>
          </cell>
        </row>
        <row r="2289">
          <cell r="Q2289">
            <v>12050</v>
          </cell>
        </row>
        <row r="2335">
          <cell r="Q2335">
            <v>404.6</v>
          </cell>
        </row>
        <row r="2341">
          <cell r="Q2341">
            <v>157.02505420000003</v>
          </cell>
        </row>
        <row r="2358">
          <cell r="Q2358">
            <v>21451</v>
          </cell>
        </row>
        <row r="2375">
          <cell r="Q2375">
            <v>63713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8">
          <cell r="D8" t="str">
            <v>ขนาดเบา</v>
          </cell>
          <cell r="F8" t="str">
            <v>ตร.ม.</v>
          </cell>
          <cell r="G8">
            <v>1.1100000000000001</v>
          </cell>
          <cell r="H8">
            <v>0.16</v>
          </cell>
          <cell r="I8">
            <v>0.2</v>
          </cell>
          <cell r="J8">
            <v>1.27</v>
          </cell>
        </row>
        <row r="9">
          <cell r="D9" t="str">
            <v>ขนาดกลาง</v>
          </cell>
          <cell r="F9" t="str">
            <v>ตร.ม.</v>
          </cell>
          <cell r="G9">
            <v>2.57</v>
          </cell>
          <cell r="H9">
            <v>0.46</v>
          </cell>
          <cell r="I9">
            <v>0.57999999999999996</v>
          </cell>
          <cell r="J9">
            <v>3.03</v>
          </cell>
        </row>
        <row r="10">
          <cell r="D10" t="str">
            <v>ขนาดหนัก</v>
          </cell>
          <cell r="F10" t="str">
            <v>ตร.ม.</v>
          </cell>
          <cell r="G10">
            <v>3.92</v>
          </cell>
          <cell r="H10">
            <v>0.66</v>
          </cell>
          <cell r="I10">
            <v>0.83</v>
          </cell>
          <cell r="J10">
            <v>4.58</v>
          </cell>
        </row>
      </sheetData>
      <sheetData sheetId="17" refreshError="1"/>
      <sheetData sheetId="18" refreshError="1"/>
      <sheetData sheetId="19">
        <row r="5">
          <cell r="C5">
            <v>1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รายการแก้ไข"/>
      <sheetName val="INPUT"/>
      <sheetName val="สารบัญ"/>
      <sheetName val="กั้นหน้า"/>
      <sheetName val="ปร5"/>
      <sheetName val="ปร4"/>
      <sheetName val="ปร4.1"/>
      <sheetName val="หา FACTORF"/>
      <sheetName val="งานทั่วไป1"/>
      <sheetName val="ราคาต่อหน่วย2-9"/>
      <sheetName val="ราคาต่อหน่วย10"/>
      <sheetName val="ราคาต่อหน่วย11"/>
      <sheetName val="กราฟทำงาน"/>
      <sheetName val="Worktime"/>
      <sheetName val="ราคาวัสดุ"/>
      <sheetName val="OHCทาง"/>
      <sheetName val="OHCโครงสร้าง"/>
      <sheetName val="อัตราทำงาน"/>
      <sheetName val="ค่าขนส่ง(กรอก)"/>
      <sheetName val="ตารางขนส่ง(1)"/>
      <sheetName val="ตารางขนส่ง (2)"/>
      <sheetName val="ตารางFACTOR Fทาง"/>
      <sheetName val="ตารางFACTOR Fสะพาน"/>
      <sheetName val="เริ่มต้น"/>
      <sheetName val="บทที่1"/>
      <sheetName val="บทที่3"/>
      <sheetName val="บทที่3(2)"/>
      <sheetName val="จัดเครื่องจักรทาง"/>
      <sheetName val="อ้างอิง"/>
      <sheetName val="Bid_1"/>
      <sheetName val="Bid_2"/>
      <sheetName val="เปรียบเทียบราคาไฟฟ้า"/>
      <sheetName val="เอกสารสัมพันธ์"/>
      <sheetName val="ขั้นตอ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>
        <row r="4">
          <cell r="J4">
            <v>1.07</v>
          </cell>
        </row>
        <row r="12">
          <cell r="J12">
            <v>1.1327</v>
          </cell>
        </row>
        <row r="20">
          <cell r="J20">
            <v>1.1378999999999999</v>
          </cell>
        </row>
      </sheetData>
      <sheetData sheetId="9" refreshError="1"/>
      <sheetData sheetId="10">
        <row r="869">
          <cell r="Q869">
            <v>2376</v>
          </cell>
        </row>
        <row r="880">
          <cell r="Q880">
            <v>2311</v>
          </cell>
        </row>
        <row r="928">
          <cell r="Q928">
            <v>2047</v>
          </cell>
        </row>
        <row r="940">
          <cell r="Q940">
            <v>2050</v>
          </cell>
        </row>
        <row r="966">
          <cell r="Q966">
            <v>260</v>
          </cell>
        </row>
        <row r="980">
          <cell r="Q980">
            <v>234</v>
          </cell>
        </row>
        <row r="997">
          <cell r="Q997">
            <v>396</v>
          </cell>
        </row>
        <row r="1011">
          <cell r="Q1011">
            <v>975</v>
          </cell>
        </row>
        <row r="1025">
          <cell r="Q1025">
            <v>975</v>
          </cell>
        </row>
        <row r="1228">
          <cell r="Q1228">
            <v>24655</v>
          </cell>
        </row>
        <row r="1239">
          <cell r="Q1239">
            <v>25875</v>
          </cell>
        </row>
        <row r="2252">
          <cell r="Q2252">
            <v>9720</v>
          </cell>
        </row>
        <row r="2271">
          <cell r="Q2271">
            <v>11780</v>
          </cell>
        </row>
        <row r="2289">
          <cell r="Q2289">
            <v>12050</v>
          </cell>
        </row>
        <row r="2335">
          <cell r="Q2335">
            <v>404.6</v>
          </cell>
        </row>
        <row r="2341">
          <cell r="Q2341">
            <v>157.02505420000003</v>
          </cell>
        </row>
        <row r="2358">
          <cell r="Q2358">
            <v>21451</v>
          </cell>
        </row>
        <row r="2375">
          <cell r="Q2375">
            <v>63713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8">
          <cell r="D8" t="str">
            <v>ขนาดเบา</v>
          </cell>
          <cell r="F8" t="str">
            <v>ตร.ม.</v>
          </cell>
          <cell r="G8">
            <v>1.1100000000000001</v>
          </cell>
          <cell r="H8">
            <v>0.16</v>
          </cell>
          <cell r="I8">
            <v>0.2</v>
          </cell>
          <cell r="J8">
            <v>1.27</v>
          </cell>
        </row>
        <row r="9">
          <cell r="D9" t="str">
            <v>ขนาดกลาง</v>
          </cell>
          <cell r="F9" t="str">
            <v>ตร.ม.</v>
          </cell>
          <cell r="G9">
            <v>2.57</v>
          </cell>
          <cell r="H9">
            <v>0.46</v>
          </cell>
          <cell r="I9">
            <v>0.57999999999999996</v>
          </cell>
          <cell r="J9">
            <v>3.03</v>
          </cell>
        </row>
        <row r="10">
          <cell r="D10" t="str">
            <v>ขนาดหนัก</v>
          </cell>
          <cell r="F10" t="str">
            <v>ตร.ม.</v>
          </cell>
          <cell r="G10">
            <v>3.92</v>
          </cell>
          <cell r="H10">
            <v>0.66</v>
          </cell>
          <cell r="I10">
            <v>0.83</v>
          </cell>
          <cell r="J10">
            <v>4.58</v>
          </cell>
        </row>
      </sheetData>
      <sheetData sheetId="17" refreshError="1"/>
      <sheetData sheetId="18" refreshError="1"/>
      <sheetData sheetId="19">
        <row r="5">
          <cell r="C5">
            <v>1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สรุป"/>
      <sheetName val="bq"/>
      <sheetName val="ต้นทุนสะพาน"/>
      <sheetName val="ตารางค่างานสะพาน"/>
      <sheetName val="30"/>
      <sheetName val="ไม้แบบ"/>
      <sheetName val="20"/>
      <sheetName val="Sheet1"/>
      <sheetName val="select"/>
      <sheetName val="26"/>
      <sheetName val="แหล่งวัสดุ"/>
      <sheetName val="box"/>
      <sheetName val="ค่าดำเนินการ"/>
      <sheetName val="สิบล้อ"/>
      <sheetName val="ลากพ่วง"/>
      <sheetName val="froad"/>
      <sheetName val="fbride"/>
      <sheetName val="ป้ายชุดทางเชื่อ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3">
          <cell r="F23">
            <v>20649</v>
          </cell>
        </row>
        <row r="24">
          <cell r="F24">
            <v>21082</v>
          </cell>
        </row>
        <row r="30">
          <cell r="F30">
            <v>21065</v>
          </cell>
        </row>
        <row r="31">
          <cell r="F31">
            <v>21794</v>
          </cell>
        </row>
        <row r="32">
          <cell r="F32">
            <v>20888</v>
          </cell>
        </row>
        <row r="51">
          <cell r="E51">
            <v>1428</v>
          </cell>
        </row>
        <row r="53">
          <cell r="E53">
            <v>1571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ข้อมูลโครงการ"/>
      <sheetName val="DATA1"/>
      <sheetName val="DATA2"/>
      <sheetName val="DATA3"/>
      <sheetName val="DATA4"/>
      <sheetName val="DATA5"/>
      <sheetName val="DATA6"/>
      <sheetName val="DATAbox1"/>
      <sheetName val="DATAbox2"/>
      <sheetName val="DATABRD1"/>
      <sheetName val="เสาเข็มBRD1"/>
      <sheetName val="ตอม่อBRD1"/>
      <sheetName val="พื้นBRD1"/>
      <sheetName val="ราวริมBRD1"/>
      <sheetName val="ราวกลางBRD1"/>
      <sheetName val="ราวBRD1"/>
      <sheetName val="APBRD1"/>
      <sheetName val="CSPBRD1"/>
      <sheetName val="ปริมาณbox1"/>
      <sheetName val="ปริมาณbox2"/>
      <sheetName val="ข้อมูลน้ำมัน"/>
      <sheetName val="กำแพงปากท่อ"/>
      <sheetName val="ตารางแหล่งวัสดุ"/>
      <sheetName val="การเชื่อมโยงค่าระยะทาง"/>
      <sheetName val="ปก"/>
      <sheetName val="ปร.5"/>
      <sheetName val="ปร.4"/>
      <sheetName val="ค่างานต้นทุน"/>
      <sheetName val="ใบสนอราคา"/>
      <sheetName val="บันทึกต่อรอง"/>
      <sheetName val="ตารางการแบ่งงวดงาน"/>
      <sheetName val="สรุปการแบ่งงวด"/>
      <sheetName val="รายละเอียดงวดงาน"/>
      <sheetName val="รายละเยดงวดในประกาศ"/>
      <sheetName val="สรุปค่าขนส่ง"/>
      <sheetName val="ข้อมูลpop_up"/>
      <sheetName val="ขน10_12.50"/>
      <sheetName val="ขน10พ่วง_12.50"/>
      <sheetName val="ขน10_13.50"/>
      <sheetName val="ขน10พ่วง_13.50"/>
      <sheetName val="ขน10_14.50"/>
      <sheetName val="ขน10พ่วง_14.50"/>
      <sheetName val="ขน10_15.50"/>
      <sheetName val="ขน10พ่วง_15.50"/>
      <sheetName val="ขน10"/>
      <sheetName val="ขน10พ่วง"/>
      <sheetName val="ค่าเสื่อมราคา"/>
      <sheetName val="Factor_Fงานทาง"/>
      <sheetName val="Factor_Fงานสะพา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5">
          <cell r="H5">
            <v>1.87</v>
          </cell>
        </row>
        <row r="7">
          <cell r="H7">
            <v>5.72</v>
          </cell>
        </row>
        <row r="11">
          <cell r="H11">
            <v>35.17</v>
          </cell>
        </row>
        <row r="18">
          <cell r="H18">
            <v>26.48</v>
          </cell>
        </row>
        <row r="39">
          <cell r="H39">
            <v>60.37</v>
          </cell>
        </row>
        <row r="42">
          <cell r="H42">
            <v>22.99</v>
          </cell>
        </row>
        <row r="50">
          <cell r="H50">
            <v>92.1</v>
          </cell>
        </row>
        <row r="60">
          <cell r="H60">
            <v>157.25</v>
          </cell>
        </row>
        <row r="69">
          <cell r="H69">
            <v>429.67</v>
          </cell>
        </row>
        <row r="89">
          <cell r="H89">
            <v>14.05</v>
          </cell>
        </row>
        <row r="106">
          <cell r="H106">
            <v>49.223283760895754</v>
          </cell>
        </row>
        <row r="134">
          <cell r="H134">
            <v>450</v>
          </cell>
        </row>
        <row r="143">
          <cell r="H143">
            <v>860</v>
          </cell>
        </row>
        <row r="151">
          <cell r="H151">
            <v>1250</v>
          </cell>
        </row>
        <row r="159">
          <cell r="H159">
            <v>1880</v>
          </cell>
        </row>
        <row r="167">
          <cell r="H167">
            <v>2400</v>
          </cell>
        </row>
        <row r="175">
          <cell r="H175">
            <v>12</v>
          </cell>
        </row>
        <row r="286">
          <cell r="H286">
            <v>1490</v>
          </cell>
        </row>
        <row r="291">
          <cell r="H291">
            <v>1170</v>
          </cell>
        </row>
        <row r="296">
          <cell r="H296">
            <v>1240</v>
          </cell>
        </row>
        <row r="301">
          <cell r="H301">
            <v>1340</v>
          </cell>
        </row>
        <row r="306">
          <cell r="H306">
            <v>1330</v>
          </cell>
        </row>
        <row r="311">
          <cell r="H311">
            <v>1460</v>
          </cell>
        </row>
        <row r="316">
          <cell r="H316">
            <v>1400</v>
          </cell>
        </row>
        <row r="321">
          <cell r="H321">
            <v>1810</v>
          </cell>
        </row>
        <row r="326">
          <cell r="H326">
            <v>1680</v>
          </cell>
        </row>
        <row r="331">
          <cell r="H331">
            <v>1310</v>
          </cell>
        </row>
        <row r="336">
          <cell r="H336">
            <v>1500</v>
          </cell>
        </row>
        <row r="341">
          <cell r="H341">
            <v>1500</v>
          </cell>
        </row>
        <row r="346">
          <cell r="H346">
            <v>2120</v>
          </cell>
        </row>
        <row r="351">
          <cell r="H351">
            <v>1810</v>
          </cell>
        </row>
        <row r="356">
          <cell r="H356">
            <v>2140</v>
          </cell>
        </row>
        <row r="361">
          <cell r="H361">
            <v>1360</v>
          </cell>
        </row>
        <row r="366">
          <cell r="H366">
            <v>5080</v>
          </cell>
        </row>
        <row r="371">
          <cell r="H371">
            <v>8040</v>
          </cell>
        </row>
        <row r="376">
          <cell r="H376">
            <v>11000</v>
          </cell>
        </row>
        <row r="381">
          <cell r="H381">
            <v>1500</v>
          </cell>
        </row>
        <row r="386">
          <cell r="H386">
            <v>1870</v>
          </cell>
        </row>
        <row r="391">
          <cell r="H391">
            <v>3070</v>
          </cell>
        </row>
        <row r="402">
          <cell r="H402">
            <v>1340</v>
          </cell>
        </row>
        <row r="415">
          <cell r="H415">
            <v>1176</v>
          </cell>
        </row>
        <row r="429">
          <cell r="H429">
            <v>1344</v>
          </cell>
        </row>
        <row r="443">
          <cell r="H443">
            <v>1479</v>
          </cell>
        </row>
        <row r="457">
          <cell r="H457">
            <v>1521</v>
          </cell>
        </row>
        <row r="462">
          <cell r="H462">
            <v>1880</v>
          </cell>
        </row>
        <row r="464">
          <cell r="H464">
            <v>1000</v>
          </cell>
        </row>
        <row r="474">
          <cell r="H474">
            <v>760</v>
          </cell>
        </row>
        <row r="482">
          <cell r="H482">
            <v>430</v>
          </cell>
        </row>
        <row r="490">
          <cell r="H490">
            <v>1080</v>
          </cell>
        </row>
        <row r="511">
          <cell r="H511">
            <v>4950</v>
          </cell>
        </row>
        <row r="518">
          <cell r="H518">
            <v>7190</v>
          </cell>
        </row>
        <row r="525">
          <cell r="H525">
            <v>9370</v>
          </cell>
        </row>
        <row r="532">
          <cell r="H532">
            <v>6300</v>
          </cell>
        </row>
        <row r="539">
          <cell r="H539">
            <v>9650</v>
          </cell>
        </row>
        <row r="546">
          <cell r="H546">
            <v>12940</v>
          </cell>
        </row>
        <row r="553">
          <cell r="H553">
            <v>7180</v>
          </cell>
        </row>
        <row r="560">
          <cell r="H560">
            <v>11460</v>
          </cell>
        </row>
        <row r="567">
          <cell r="H567">
            <v>15740</v>
          </cell>
        </row>
        <row r="574">
          <cell r="H574">
            <v>8080</v>
          </cell>
        </row>
        <row r="581">
          <cell r="H581">
            <v>13340</v>
          </cell>
        </row>
        <row r="588">
          <cell r="H588">
            <v>18680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ข้อมูลโครงการ"/>
      <sheetName val="DATA1"/>
      <sheetName val="DATA2"/>
      <sheetName val="DATA3"/>
      <sheetName val="DATA4"/>
      <sheetName val="DATA5"/>
      <sheetName val="DATA6"/>
      <sheetName val="DATAbox1"/>
      <sheetName val="DATAbox2"/>
      <sheetName val="DATABRD1"/>
      <sheetName val="เสาเข็มBRD1"/>
      <sheetName val="ตอม่อBRD1"/>
      <sheetName val="พื้นBRD1"/>
      <sheetName val="ราวริมBRD1"/>
      <sheetName val="ราวกลางBRD1"/>
      <sheetName val="ราวBRD1"/>
      <sheetName val="APBRD1"/>
      <sheetName val="CSPBRD1"/>
      <sheetName val="ปริมาณbox1"/>
      <sheetName val="ปริมาณbox2"/>
      <sheetName val="ข้อมูลน้ำมัน"/>
      <sheetName val="กำแพงปากท่อ"/>
      <sheetName val="ตารางแหล่งวัสดุ"/>
      <sheetName val="การเชื่อมโยงค่าระยะทาง"/>
      <sheetName val="ปก"/>
      <sheetName val="ปร.5"/>
      <sheetName val="ปร.4"/>
      <sheetName val="ค่างานต้นทุน"/>
      <sheetName val="ใบสนอราคา"/>
      <sheetName val="บันทึกต่อรอง"/>
      <sheetName val="ตารางการแบ่งงวดงาน"/>
      <sheetName val="สรุปการแบ่งงวด"/>
      <sheetName val="รายละเอียดงวดงาน"/>
      <sheetName val="รายละเยดงวดในประกาศ"/>
      <sheetName val="สรุปค่าขนส่ง"/>
      <sheetName val="ข้อมูลpop_up"/>
      <sheetName val="ขน10_12.50"/>
      <sheetName val="ขน10พ่วง_12.50"/>
      <sheetName val="ขน10_13.50"/>
      <sheetName val="ขน10พ่วง_13.50"/>
      <sheetName val="ขน10_14.50"/>
      <sheetName val="ขน10พ่วง_14.50"/>
      <sheetName val="ขน10_15.50"/>
      <sheetName val="ขน10พ่วง_15.50"/>
      <sheetName val="ขน10"/>
      <sheetName val="ขน10พ่วง"/>
      <sheetName val="ค่าเสื่อมราคา"/>
      <sheetName val="Factor_Fงานทาง"/>
      <sheetName val="Factor_Fงานสะพา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5">
          <cell r="H5">
            <v>1.87</v>
          </cell>
        </row>
        <row r="7">
          <cell r="H7">
            <v>5.72</v>
          </cell>
        </row>
        <row r="11">
          <cell r="H11">
            <v>35.17</v>
          </cell>
        </row>
        <row r="18">
          <cell r="H18">
            <v>26.48</v>
          </cell>
        </row>
        <row r="39">
          <cell r="H39">
            <v>60.37</v>
          </cell>
        </row>
        <row r="42">
          <cell r="H42">
            <v>22.99</v>
          </cell>
        </row>
        <row r="50">
          <cell r="H50">
            <v>92.1</v>
          </cell>
        </row>
        <row r="60">
          <cell r="H60">
            <v>157.25</v>
          </cell>
        </row>
        <row r="69">
          <cell r="H69">
            <v>429.67</v>
          </cell>
        </row>
        <row r="89">
          <cell r="H89">
            <v>14.05</v>
          </cell>
        </row>
        <row r="106">
          <cell r="H106">
            <v>49.223283760895754</v>
          </cell>
        </row>
        <row r="134">
          <cell r="H134">
            <v>450</v>
          </cell>
        </row>
        <row r="143">
          <cell r="H143">
            <v>860</v>
          </cell>
        </row>
        <row r="151">
          <cell r="H151">
            <v>1250</v>
          </cell>
        </row>
        <row r="159">
          <cell r="H159">
            <v>1880</v>
          </cell>
        </row>
        <row r="167">
          <cell r="H167">
            <v>2400</v>
          </cell>
        </row>
        <row r="175">
          <cell r="H175">
            <v>12</v>
          </cell>
        </row>
        <row r="286">
          <cell r="H286">
            <v>1490</v>
          </cell>
        </row>
        <row r="291">
          <cell r="H291">
            <v>1170</v>
          </cell>
        </row>
        <row r="296">
          <cell r="H296">
            <v>1240</v>
          </cell>
        </row>
        <row r="301">
          <cell r="H301">
            <v>1340</v>
          </cell>
        </row>
        <row r="306">
          <cell r="H306">
            <v>1330</v>
          </cell>
        </row>
        <row r="311">
          <cell r="H311">
            <v>1460</v>
          </cell>
        </row>
        <row r="316">
          <cell r="H316">
            <v>1400</v>
          </cell>
        </row>
        <row r="321">
          <cell r="H321">
            <v>1810</v>
          </cell>
        </row>
        <row r="326">
          <cell r="H326">
            <v>1680</v>
          </cell>
        </row>
        <row r="331">
          <cell r="H331">
            <v>1310</v>
          </cell>
        </row>
        <row r="336">
          <cell r="H336">
            <v>1500</v>
          </cell>
        </row>
        <row r="341">
          <cell r="H341">
            <v>1500</v>
          </cell>
        </row>
        <row r="346">
          <cell r="H346">
            <v>2120</v>
          </cell>
        </row>
        <row r="351">
          <cell r="H351">
            <v>1810</v>
          </cell>
        </row>
        <row r="356">
          <cell r="H356">
            <v>2140</v>
          </cell>
        </row>
        <row r="361">
          <cell r="H361">
            <v>1360</v>
          </cell>
        </row>
        <row r="366">
          <cell r="H366">
            <v>5080</v>
          </cell>
        </row>
        <row r="371">
          <cell r="H371">
            <v>8040</v>
          </cell>
        </row>
        <row r="376">
          <cell r="H376">
            <v>11000</v>
          </cell>
        </row>
        <row r="381">
          <cell r="H381">
            <v>1500</v>
          </cell>
        </row>
        <row r="386">
          <cell r="H386">
            <v>1870</v>
          </cell>
        </row>
        <row r="391">
          <cell r="H391">
            <v>3070</v>
          </cell>
        </row>
        <row r="402">
          <cell r="H402">
            <v>1340</v>
          </cell>
        </row>
        <row r="415">
          <cell r="H415">
            <v>1176</v>
          </cell>
        </row>
        <row r="429">
          <cell r="H429">
            <v>1344</v>
          </cell>
        </row>
        <row r="443">
          <cell r="H443">
            <v>1479</v>
          </cell>
        </row>
        <row r="457">
          <cell r="H457">
            <v>1521</v>
          </cell>
        </row>
        <row r="462">
          <cell r="H462">
            <v>1880</v>
          </cell>
        </row>
        <row r="464">
          <cell r="H464">
            <v>1000</v>
          </cell>
        </row>
        <row r="474">
          <cell r="H474">
            <v>760</v>
          </cell>
        </row>
        <row r="482">
          <cell r="H482">
            <v>430</v>
          </cell>
        </row>
        <row r="490">
          <cell r="H490">
            <v>1080</v>
          </cell>
        </row>
        <row r="511">
          <cell r="H511">
            <v>4950</v>
          </cell>
        </row>
        <row r="518">
          <cell r="H518">
            <v>7190</v>
          </cell>
        </row>
        <row r="525">
          <cell r="H525">
            <v>9370</v>
          </cell>
        </row>
        <row r="532">
          <cell r="H532">
            <v>6300</v>
          </cell>
        </row>
        <row r="539">
          <cell r="H539">
            <v>9650</v>
          </cell>
        </row>
        <row r="546">
          <cell r="H546">
            <v>12940</v>
          </cell>
        </row>
        <row r="553">
          <cell r="H553">
            <v>7180</v>
          </cell>
        </row>
        <row r="560">
          <cell r="H560">
            <v>11460</v>
          </cell>
        </row>
        <row r="567">
          <cell r="H567">
            <v>15740</v>
          </cell>
        </row>
        <row r="574">
          <cell r="H574">
            <v>8080</v>
          </cell>
        </row>
        <row r="581">
          <cell r="H581">
            <v>13340</v>
          </cell>
        </row>
        <row r="588">
          <cell r="H588">
            <v>18680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สารบัญ"/>
      <sheetName val="ปก22"/>
      <sheetName val="รายละเอียดโครงการ"/>
      <sheetName val="ปก "/>
      <sheetName val="ปก.."/>
      <sheetName val="สารบัญ."/>
      <sheetName val="คำอธิบาย"/>
      <sheetName val="สรุปรายละเอียดค่าก่อสร้าง "/>
      <sheetName val="สรุปรายละเอียดค่าก่อสร้างform"/>
      <sheetName val="แบบ ปร.๕,สรุปค่าก่อสร้าง"/>
      <sheetName val="ปร.๔.๑,งานสะพาน&amp;ท่อเหลี่ยม"/>
      <sheetName val="ปร.๒.๒,งานทาง"/>
      <sheetName val="ปร.๔.๓,งานทั่วไป"/>
      <sheetName val="บัญชีฯ(B.O.Q).สะพาน "/>
      <sheetName val="บัญชีฯ(B.O.Q),งานทาง"/>
      <sheetName val="บัญชีฯ(B.O.Q),ทั่วไป"/>
      <sheetName val="ปร.5"/>
      <sheetName val="ปร.4_1 "/>
      <sheetName val="ปร.4_2,งานทาง"/>
      <sheetName val="ปร.4_1,สะพาน"/>
      <sheetName val="ปร.4_2,ทาง"/>
      <sheetName val="ปร.4_3,ทั่วไป"/>
      <sheetName val="ตารางแบ่งค่างาน(ปรับปรุงใหม่)"/>
      <sheetName val="แหล่งวัสดุf"/>
      <sheetName val="ราคาต่อหน่วยงานทาง"/>
      <sheetName val="สรุป ปร5"/>
      <sheetName val="หา FACTOR F"/>
      <sheetName val="FACTOR Fอาคาร"/>
      <sheetName val="FACTOR Fทาง "/>
      <sheetName val="FACTOR Fสะพาน "/>
      <sheetName val="แผนงานสะพาน"/>
      <sheetName val="สำนักงาน,ค่าใช้จ่ายพิเศษ'54"/>
      <sheetName val="สำนักงาน,ค่าใช้จ่ายพิเศษ'53 (2"/>
      <sheetName val="ต้นทุนรายเดือน"/>
      <sheetName val="แหล่งวัสดุ,ตค๕๓"/>
      <sheetName val="เอกสารแหล่งวัสดุ"/>
      <sheetName val="ค่าขนส่งทางเรือ(ถ้ามี)"/>
      <sheetName val="KM Chart,ลูกรัง"/>
      <sheetName val="KM Chart,ทราย"/>
      <sheetName val="KM Chart,หิน"/>
      <sheetName val="KM Chart,เหล็กเส้น"/>
      <sheetName val="KM Chart,ปูนชีเมนต์"/>
      <sheetName val="KM Chart,แอสฟัลท์"/>
      <sheetName val="ระยะทางต่อจังหวัด"/>
      <sheetName val="วัสดุเพื่องานคสล."/>
      <sheetName val="ค่าวัสดุสะพาน"/>
      <sheetName val="เอกสารแสดงราคาต่อหน่วย "/>
      <sheetName val="ค่าต้นทุนงานทาง"/>
      <sheetName val="นั่งร้านชั่วคราว"/>
      <sheetName val="สะพานทางเบี่ยง "/>
      <sheetName val="ค่าเสื่อมราคา;29.00-29.99฿"/>
      <sheetName val="ตารางค่าขนส่ง,Desel;29.50฿"/>
      <sheetName val="ค่าขนส่ง,Desel;29.50฿"/>
      <sheetName val="ราคาวัสดุก่อสร้าง,จ.กระบี่"/>
      <sheetName val="Unuse"/>
      <sheetName val="ค่าน้ำมัน,ค่าขนส่ง"/>
      <sheetName val="ตารางค่าดำเนินการ+ค่าเสื่อมฯ"/>
      <sheetName val="สำเนางานไฟฟ้า"/>
      <sheetName val="เอกสารแสดงราคาต่อหน่วย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4">
          <cell r="K34">
            <v>1.1827000000000001</v>
          </cell>
        </row>
        <row r="51">
          <cell r="K51">
            <v>1.2188000000000001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ข้อมูล"/>
      <sheetName val="ปริมาณงาน"/>
      <sheetName val="B_ข้อมูล"/>
      <sheetName val="ระยะขนส่ง"/>
      <sheetName val="สรุปรายละเอียด"/>
      <sheetName val="ปร5ท"/>
      <sheetName val="ปร4.1ท"/>
      <sheetName val="ปร4.2ท"/>
      <sheetName val="ค.งานทั่วไป"/>
      <sheetName val="ค่างานต้นทุน"/>
      <sheetName val="ถนนคสล"/>
      <sheetName val="ต้นทุนcon,steel&amp;แบบ"/>
      <sheetName val="Cut-Fill"/>
      <sheetName val="ท่อ&amp;HW"/>
      <sheetName val="H@E"/>
      <sheetName val="ป้ายจราจร"/>
      <sheetName val="Widennig"/>
      <sheetName val="ทางเชื่อม"/>
      <sheetName val="ข้อมูลท่อเหลี่ยม"/>
      <sheetName val="สรุปข้อมูลสะพาน"/>
      <sheetName val="B_คำนวณ"/>
      <sheetName val="ค่าขนส่ง"/>
      <sheetName val="ค่าเสื่อมราคา"/>
      <sheetName val="Factor_F"/>
      <sheetName val="SLOPE PROTECT"/>
      <sheetName val="Module3"/>
    </sheetNames>
    <sheetDataSet>
      <sheetData sheetId="0" refreshError="1">
        <row r="19">
          <cell r="AM19">
            <v>2681</v>
          </cell>
        </row>
        <row r="132">
          <cell r="L132">
            <v>46.73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41">
          <cell r="J141">
            <v>1798</v>
          </cell>
        </row>
        <row r="157">
          <cell r="J157">
            <v>2056</v>
          </cell>
        </row>
        <row r="184">
          <cell r="J184">
            <v>21.55</v>
          </cell>
        </row>
        <row r="224">
          <cell r="J224">
            <v>22.56</v>
          </cell>
        </row>
        <row r="232">
          <cell r="J232">
            <v>19.64</v>
          </cell>
        </row>
        <row r="248">
          <cell r="J248">
            <v>24.56</v>
          </cell>
        </row>
        <row r="328">
          <cell r="J328">
            <v>261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ข้อมูลทั่วไป"/>
      <sheetName val="INPUT"/>
      <sheetName val="สารบัญ"/>
      <sheetName val="ปะหน้า"/>
      <sheetName val="สารบัญหัวข้อการเบิกจ่าย"/>
      <sheetName val="ปร5"/>
      <sheetName val="ปร4"/>
      <sheetName val="ปร4-1"/>
      <sheetName val="หา FACTOR F"/>
      <sheetName val="ตารางFACTOR Fทาง"/>
      <sheetName val="ตารางFACTOR Fโครงสร้าง"/>
      <sheetName val="unitcost"/>
      <sheetName val="FACTOR - F"/>
      <sheetName val="กราฟทำงาน"/>
      <sheetName val="เวลาทำงาน (1)"/>
      <sheetName val="อัตราทำงาน"/>
      <sheetName val="แหล่งวัสดุ"/>
      <sheetName val="ค่าดำเนินการ"/>
      <sheetName val="ค่าขนส่ง 1"/>
      <sheetName val="ค่าขนส่ง 1(ต่อ)"/>
      <sheetName val="ดำเนินการ"/>
      <sheetName val="ดำเนินการ (เดิม)"/>
      <sheetName val="Factor ดิน"/>
      <sheetName val="bf"/>
      <sheetName val="boq-bf"/>
      <sheetName val="การคิดค่า"/>
      <sheetName val="ตารางขนส่ง"/>
      <sheetName val="ขนส่งพ่วง"/>
      <sheetName val="ขนส่งพ่วง(ต่อ)"/>
      <sheetName val="เริ่มต้น"/>
      <sheetName val="บทที่1"/>
      <sheetName val="บทที่2(1)"/>
      <sheetName val="วิธีคิดค่าขนส่ง"/>
      <sheetName val="Detailค่าเครื่องจักร"/>
      <sheetName val="สรุปค่าเครื่องจักร+อะไหล่สึกหรอ"/>
      <sheetName val="บทที่2(2)"/>
      <sheetName val="บทที่2(3)"/>
      <sheetName val="บทที่2(4)"/>
      <sheetName val="บทที่2(6)"/>
      <sheetName val="บทที่2(7)"/>
      <sheetName val="บทที่3"/>
      <sheetName val="บทที่3(2)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สรุป ปปช."/>
      <sheetName val="ปก"/>
      <sheetName val="Soil"/>
      <sheetName val="ปร.5 ท"/>
      <sheetName val="ปร.4_1"/>
      <sheetName val="ปร.4_2"/>
      <sheetName val="ปร.4_1 ท"/>
      <sheetName val="ทางเชื่อม (AC)"/>
      <sheetName val="เปรียบเทียบราคาวัสดุ"/>
      <sheetName val="ข้อมูลแหล่งราคาวัสดุ"/>
      <sheetName val="ราคาต้นทุนงานทาง"/>
      <sheetName val="งานป้ายจราจรระหว่างการก่อสร"/>
      <sheetName val="ค่าดำเนินการ"/>
      <sheetName val="บรรทุกสิบล้อลากพ่วง"/>
      <sheetName val="บรรทุกสิบล้อ"/>
      <sheetName val="ดัชนี พัทลุง"/>
      <sheetName val="ดัชนี กทม."/>
      <sheetName val="F ทาง"/>
      <sheetName val="F สะพาน"/>
    </sheetNames>
    <sheetDataSet>
      <sheetData sheetId="0" refreshError="1"/>
      <sheetData sheetId="1" refreshError="1"/>
      <sheetData sheetId="2" refreshError="1"/>
      <sheetData sheetId="3">
        <row r="2">
          <cell r="R2" t="str">
            <v>-</v>
          </cell>
          <cell r="S2" t="str">
            <v>-</v>
          </cell>
          <cell r="T2" t="str">
            <v>-</v>
          </cell>
          <cell r="W2" t="str">
            <v>-------------</v>
          </cell>
        </row>
        <row r="3">
          <cell r="R3">
            <v>1</v>
          </cell>
          <cell r="S3" t="str">
            <v>มกราคม</v>
          </cell>
          <cell r="T3">
            <v>2556</v>
          </cell>
          <cell r="W3" t="str">
            <v>พท.4001</v>
          </cell>
        </row>
        <row r="4">
          <cell r="R4">
            <v>2</v>
          </cell>
          <cell r="S4" t="str">
            <v>กุมภาพันธ์</v>
          </cell>
          <cell r="T4">
            <v>2557</v>
          </cell>
          <cell r="W4" t="str">
            <v>พท.1002</v>
          </cell>
        </row>
        <row r="5">
          <cell r="R5">
            <v>3</v>
          </cell>
          <cell r="S5" t="str">
            <v>มีนาคม</v>
          </cell>
          <cell r="T5">
            <v>2558</v>
          </cell>
          <cell r="W5" t="str">
            <v>พท.1005</v>
          </cell>
        </row>
        <row r="6">
          <cell r="R6">
            <v>4</v>
          </cell>
          <cell r="S6" t="str">
            <v>เมษายน</v>
          </cell>
          <cell r="T6">
            <v>2559</v>
          </cell>
          <cell r="W6" t="str">
            <v>พท.2006</v>
          </cell>
        </row>
        <row r="7">
          <cell r="R7">
            <v>5</v>
          </cell>
          <cell r="S7" t="str">
            <v>พฤษภาคม</v>
          </cell>
          <cell r="T7">
            <v>2560</v>
          </cell>
          <cell r="W7" t="str">
            <v>พท.4007</v>
          </cell>
        </row>
        <row r="8">
          <cell r="R8">
            <v>6</v>
          </cell>
          <cell r="S8" t="str">
            <v>มิถุนายน</v>
          </cell>
          <cell r="T8">
            <v>2561</v>
          </cell>
          <cell r="W8" t="str">
            <v>พท.2008</v>
          </cell>
        </row>
        <row r="9">
          <cell r="R9">
            <v>7</v>
          </cell>
          <cell r="S9" t="str">
            <v>กรกฎาคม</v>
          </cell>
          <cell r="T9">
            <v>2562</v>
          </cell>
          <cell r="W9" t="str">
            <v>พท.4009</v>
          </cell>
        </row>
        <row r="10">
          <cell r="R10">
            <v>8</v>
          </cell>
          <cell r="S10" t="str">
            <v>สิงหาคม</v>
          </cell>
          <cell r="T10">
            <v>2563</v>
          </cell>
          <cell r="W10" t="str">
            <v>พท.1010</v>
          </cell>
        </row>
        <row r="11">
          <cell r="R11">
            <v>9</v>
          </cell>
          <cell r="S11" t="str">
            <v>กันยายน</v>
          </cell>
          <cell r="T11">
            <v>2564</v>
          </cell>
          <cell r="W11" t="str">
            <v>พท.1011</v>
          </cell>
        </row>
        <row r="12">
          <cell r="R12">
            <v>10</v>
          </cell>
          <cell r="S12" t="str">
            <v>ตุลาคม</v>
          </cell>
          <cell r="T12">
            <v>2565</v>
          </cell>
          <cell r="W12" t="str">
            <v>พท.2013</v>
          </cell>
        </row>
        <row r="13">
          <cell r="R13">
            <v>11</v>
          </cell>
          <cell r="S13" t="str">
            <v>พฤศจิกายน</v>
          </cell>
          <cell r="W13" t="str">
            <v>พท.2016</v>
          </cell>
        </row>
        <row r="14">
          <cell r="R14">
            <v>12</v>
          </cell>
          <cell r="S14" t="str">
            <v>ธันวาคม</v>
          </cell>
          <cell r="W14" t="str">
            <v>พท.4018</v>
          </cell>
        </row>
        <row r="15">
          <cell r="R15">
            <v>13</v>
          </cell>
          <cell r="W15" t="str">
            <v>พท.4019</v>
          </cell>
        </row>
        <row r="16">
          <cell r="R16">
            <v>14</v>
          </cell>
          <cell r="W16" t="str">
            <v>พท.1021</v>
          </cell>
        </row>
        <row r="17">
          <cell r="R17">
            <v>15</v>
          </cell>
          <cell r="W17" t="str">
            <v>พท.2030</v>
          </cell>
        </row>
        <row r="18">
          <cell r="R18">
            <v>16</v>
          </cell>
          <cell r="W18" t="str">
            <v>พท.5036</v>
          </cell>
        </row>
        <row r="19">
          <cell r="R19">
            <v>17</v>
          </cell>
          <cell r="W19" t="str">
            <v>พท.5037</v>
          </cell>
        </row>
        <row r="20">
          <cell r="R20">
            <v>18</v>
          </cell>
          <cell r="W20" t="str">
            <v>พท.2038</v>
          </cell>
        </row>
        <row r="21">
          <cell r="R21">
            <v>19</v>
          </cell>
          <cell r="W21" t="str">
            <v>พท.1040</v>
          </cell>
        </row>
        <row r="22">
          <cell r="R22">
            <v>20</v>
          </cell>
          <cell r="W22" t="str">
            <v>พท.2041</v>
          </cell>
        </row>
        <row r="23">
          <cell r="R23">
            <v>21</v>
          </cell>
          <cell r="W23" t="str">
            <v>พท.4044</v>
          </cell>
        </row>
        <row r="24">
          <cell r="R24">
            <v>22</v>
          </cell>
          <cell r="W24" t="str">
            <v>พท.4048</v>
          </cell>
        </row>
        <row r="25">
          <cell r="R25">
            <v>23</v>
          </cell>
          <cell r="W25" t="str">
            <v>พท.5050</v>
          </cell>
        </row>
        <row r="26">
          <cell r="R26">
            <v>24</v>
          </cell>
          <cell r="W26" t="str">
            <v>พท.4052</v>
          </cell>
        </row>
        <row r="27">
          <cell r="R27">
            <v>25</v>
          </cell>
          <cell r="W27" t="str">
            <v>พท.4053</v>
          </cell>
        </row>
        <row r="28">
          <cell r="R28">
            <v>26</v>
          </cell>
          <cell r="W28" t="str">
            <v>-------------</v>
          </cell>
        </row>
        <row r="29">
          <cell r="R29">
            <v>27</v>
          </cell>
          <cell r="W29" t="str">
            <v>พท.4003</v>
          </cell>
        </row>
        <row r="30">
          <cell r="R30">
            <v>28</v>
          </cell>
          <cell r="W30" t="str">
            <v>พท.4004</v>
          </cell>
        </row>
        <row r="31">
          <cell r="R31">
            <v>29</v>
          </cell>
          <cell r="W31" t="str">
            <v>พท.1014</v>
          </cell>
        </row>
        <row r="32">
          <cell r="R32">
            <v>30</v>
          </cell>
          <cell r="W32" t="str">
            <v>พท.1015</v>
          </cell>
        </row>
        <row r="33">
          <cell r="R33">
            <v>31</v>
          </cell>
          <cell r="W33" t="str">
            <v>พท.1017</v>
          </cell>
        </row>
        <row r="34">
          <cell r="W34" t="str">
            <v>พท.1020</v>
          </cell>
        </row>
        <row r="35">
          <cell r="W35" t="str">
            <v>พท.5022</v>
          </cell>
        </row>
        <row r="36">
          <cell r="W36" t="str">
            <v>พท.1023</v>
          </cell>
        </row>
        <row r="37">
          <cell r="W37" t="str">
            <v>พท.4025</v>
          </cell>
        </row>
        <row r="38">
          <cell r="W38" t="str">
            <v>พท.4026</v>
          </cell>
        </row>
        <row r="39">
          <cell r="W39" t="str">
            <v>พท.1027</v>
          </cell>
        </row>
        <row r="40">
          <cell r="W40" t="str">
            <v>พท.1028</v>
          </cell>
        </row>
        <row r="41">
          <cell r="W41" t="str">
            <v>พท.1029</v>
          </cell>
        </row>
        <row r="42">
          <cell r="W42" t="str">
            <v>พท.4032</v>
          </cell>
        </row>
        <row r="43">
          <cell r="W43" t="str">
            <v>พท.4033</v>
          </cell>
        </row>
        <row r="44">
          <cell r="W44" t="str">
            <v>พท.1042</v>
          </cell>
        </row>
        <row r="45">
          <cell r="W45" t="str">
            <v>พท.4046</v>
          </cell>
        </row>
        <row r="46">
          <cell r="W46" t="str">
            <v>พท.5051</v>
          </cell>
        </row>
        <row r="47">
          <cell r="W47" t="str">
            <v>พท.4054</v>
          </cell>
        </row>
        <row r="48">
          <cell r="W48" t="str">
            <v>พท.5056</v>
          </cell>
        </row>
      </sheetData>
      <sheetData sheetId="4" refreshError="1"/>
      <sheetData sheetId="5">
        <row r="63">
          <cell r="Z63">
            <v>0</v>
          </cell>
          <cell r="AA63" t="str">
            <v>-</v>
          </cell>
        </row>
        <row r="64">
          <cell r="Z64">
            <v>1</v>
          </cell>
          <cell r="AA64" t="str">
            <v>1.20 x 1.20</v>
          </cell>
        </row>
        <row r="65">
          <cell r="Z65">
            <v>2</v>
          </cell>
          <cell r="AA65" t="str">
            <v>1.50 x 1.50</v>
          </cell>
        </row>
        <row r="66">
          <cell r="Z66">
            <v>3</v>
          </cell>
          <cell r="AA66" t="str">
            <v>1.80 x 1.80</v>
          </cell>
        </row>
        <row r="67">
          <cell r="Z67">
            <v>4</v>
          </cell>
          <cell r="AA67" t="str">
            <v>2.10 x 2.10</v>
          </cell>
        </row>
        <row r="68">
          <cell r="AA68" t="str">
            <v>2.40 x 2.40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1">
          <cell r="P1">
            <v>0</v>
          </cell>
        </row>
        <row r="2">
          <cell r="P2" t="str">
            <v>Asphaltic Concrete</v>
          </cell>
        </row>
        <row r="3">
          <cell r="P3" t="str">
            <v>Cape Seal</v>
          </cell>
        </row>
        <row r="4">
          <cell r="P4" t="str">
            <v>Concrete</v>
          </cell>
        </row>
        <row r="5">
          <cell r="P5" t="str">
            <v>ลูกรัง</v>
          </cell>
        </row>
        <row r="9">
          <cell r="P9" t="str">
            <v>เบา</v>
          </cell>
        </row>
        <row r="10">
          <cell r="P10" t="str">
            <v>กลาง</v>
          </cell>
        </row>
        <row r="11">
          <cell r="P11" t="str">
            <v>หนัก</v>
          </cell>
        </row>
        <row r="413">
          <cell r="C413">
            <v>2.5</v>
          </cell>
          <cell r="D413">
            <v>0.75</v>
          </cell>
          <cell r="E413">
            <v>16.66</v>
          </cell>
        </row>
        <row r="414">
          <cell r="C414">
            <v>3</v>
          </cell>
          <cell r="D414">
            <v>0.8</v>
          </cell>
          <cell r="E414">
            <v>13.89</v>
          </cell>
        </row>
        <row r="415">
          <cell r="C415">
            <v>4</v>
          </cell>
          <cell r="D415">
            <v>0.9</v>
          </cell>
          <cell r="E415">
            <v>10.41</v>
          </cell>
        </row>
        <row r="416">
          <cell r="C416">
            <v>5</v>
          </cell>
          <cell r="D416">
            <v>1</v>
          </cell>
          <cell r="E416">
            <v>8.33</v>
          </cell>
        </row>
        <row r="417">
          <cell r="C417">
            <v>6</v>
          </cell>
          <cell r="D417">
            <v>1.6</v>
          </cell>
          <cell r="E417">
            <v>6.94</v>
          </cell>
        </row>
        <row r="418">
          <cell r="C418">
            <v>7</v>
          </cell>
          <cell r="D418">
            <v>1.7</v>
          </cell>
          <cell r="E418">
            <v>5.95</v>
          </cell>
        </row>
        <row r="419">
          <cell r="C419">
            <v>8</v>
          </cell>
          <cell r="D419">
            <v>1.8</v>
          </cell>
          <cell r="E419">
            <v>5.21</v>
          </cell>
        </row>
        <row r="420">
          <cell r="C420">
            <v>9</v>
          </cell>
          <cell r="D420">
            <v>1.9</v>
          </cell>
          <cell r="E420">
            <v>4.63</v>
          </cell>
        </row>
        <row r="421">
          <cell r="C421">
            <v>10</v>
          </cell>
          <cell r="D421">
            <v>2</v>
          </cell>
          <cell r="E421">
            <v>4.16</v>
          </cell>
        </row>
        <row r="443">
          <cell r="P443">
            <v>15</v>
          </cell>
        </row>
        <row r="444">
          <cell r="P444">
            <v>18</v>
          </cell>
        </row>
        <row r="445">
          <cell r="P445">
            <v>20</v>
          </cell>
        </row>
        <row r="446">
          <cell r="P446">
            <v>23</v>
          </cell>
        </row>
        <row r="447">
          <cell r="P447">
            <v>25</v>
          </cell>
        </row>
        <row r="605">
          <cell r="X605" t="str">
            <v>-</v>
          </cell>
        </row>
        <row r="606">
          <cell r="X606" t="str">
            <v>Ø 0.40</v>
          </cell>
        </row>
        <row r="607">
          <cell r="X607" t="str">
            <v>Ø 0.60</v>
          </cell>
        </row>
        <row r="608">
          <cell r="X608" t="str">
            <v>Ø 0.80</v>
          </cell>
        </row>
        <row r="609">
          <cell r="X609" t="str">
            <v>Ø 1.00</v>
          </cell>
        </row>
        <row r="610">
          <cell r="X610" t="str">
            <v>Ø 1.20</v>
          </cell>
        </row>
        <row r="705">
          <cell r="O705" t="str">
            <v>1 แถว - Ø 0.40 เมตร</v>
          </cell>
        </row>
        <row r="706">
          <cell r="O706" t="str">
            <v>1 แถว - Ø 0.60 เมตร</v>
          </cell>
        </row>
        <row r="707">
          <cell r="O707" t="str">
            <v>1 แถว - Ø 0.80 เมตร</v>
          </cell>
        </row>
        <row r="708">
          <cell r="O708" t="str">
            <v>1 แถว - Ø 1.00 เมตร</v>
          </cell>
        </row>
        <row r="709">
          <cell r="O709" t="str">
            <v>1 แถว - Ø 1.20 เมตร</v>
          </cell>
        </row>
        <row r="717">
          <cell r="O717" t="str">
            <v>2 แถว - Ø 0.40 เมตร</v>
          </cell>
        </row>
        <row r="718">
          <cell r="O718" t="str">
            <v>2 แถว - Ø 0.60 เมตร</v>
          </cell>
        </row>
        <row r="719">
          <cell r="O719" t="str">
            <v>2 แถว - Ø 0.80 เมตร</v>
          </cell>
        </row>
        <row r="720">
          <cell r="O720" t="str">
            <v>2 แถว - Ø 1.00 เมตร</v>
          </cell>
        </row>
        <row r="721">
          <cell r="O721" t="str">
            <v>2 แถว - Ø 1.20 เมตร</v>
          </cell>
        </row>
        <row r="729">
          <cell r="O729" t="str">
            <v>3 แถว - Ø 0.40 เมตร</v>
          </cell>
        </row>
        <row r="730">
          <cell r="O730" t="str">
            <v>3 แถว - Ø 0.60 เมตร</v>
          </cell>
        </row>
        <row r="731">
          <cell r="O731" t="str">
            <v>3 แถว - Ø 0.80 เมตร</v>
          </cell>
        </row>
        <row r="732">
          <cell r="O732" t="str">
            <v>3 แถว - Ø 1.00 เมตร</v>
          </cell>
        </row>
        <row r="733">
          <cell r="O733" t="str">
            <v>3 แถว - Ø 1.20 เมตร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เมนู"/>
      <sheetName val="ข้อมูลโครงการ"/>
      <sheetName val="ปกทช"/>
      <sheetName val="ปร.5ทช"/>
      <sheetName val="ปร.4"/>
      <sheetName val="ปร.4สะพานคสล."/>
      <sheetName val="ปร.4 สะพาน"/>
      <sheetName val="ปร.4 box"/>
      <sheetName val="รายการประมาณราคาต่อหน่วย"/>
      <sheetName val="ตารางถอดแบบกำแพงปากท่อ"/>
      <sheetName val="ข้อมูลประกอบการประมาณราคา"/>
      <sheetName val="เลือกชนิดวัสดุมวลรวม"/>
      <sheetName val="เลือกวิธีหาราคาต้นทุน CS"/>
      <sheetName val="ตัวแปรค่าดำเนินการปูลาดAC"/>
      <sheetName val="ตัวแปรสภาพผิวทาง"/>
      <sheetName val="ค่าดำเนินการและค่าเสื่อม"/>
      <sheetName val="ถางป่าขุดตอขนาดเบา"/>
      <sheetName val="ค่าขนส่ง"/>
      <sheetName val="ค่าขนส่งปูนเมนต์"/>
      <sheetName val="ค่าขนส่งทราย"/>
      <sheetName val="ค่าขนส่งหิน"/>
      <sheetName val="ค่าขนส่งกรวดโม่"/>
      <sheetName val="ค่าขนส่งยาง"/>
      <sheetName val="ค่าขนส่งหินผสมAC"/>
      <sheetName val="ค่าขนส่งHM"/>
      <sheetName val="ค่าขนส่งเครืองจักร 80"/>
      <sheetName val="ค่าขนส่งacในสายทาง"/>
      <sheetName val="ค่าขนส่งเหล็ก"/>
      <sheetName val="ค่าขนส่งเหล็กรูปพรรณ"/>
      <sheetName val="ค่าขนส่งไม้แบบ"/>
      <sheetName val="ค่าขนส่งดินถม"/>
      <sheetName val="ค่าขนส่งลูกรังและวัสดุคัดเลือก"/>
      <sheetName val="ค่าขนส่งดินทิ้ง"/>
      <sheetName val="ค่าขนส่งไม้โครงสร้าง"/>
      <sheetName val="ค่าขนส่งท่อลอดกลม คสล."/>
      <sheetName val="กรอกข้อมูลประเมินราคาชุดที่2"/>
      <sheetName val="ประเภทงาน"/>
      <sheetName val="ถางป่าขุดตอขนาดกลาง"/>
      <sheetName val="ถางป่าขุดตอขนาดหนัก"/>
      <sheetName val="ดินคันทางขุดขน"/>
      <sheetName val="ดินคันทางบดทับ"/>
      <sheetName val="ดินขุดตัด"/>
      <sheetName val="ดินตัก"/>
      <sheetName val="หินผุขัดตัด"/>
      <sheetName val="หินผุดันตัก"/>
      <sheetName val="หินแข็งเจาะระเบิด"/>
      <sheetName val="หินแข็งดันตัก"/>
      <sheetName val="รองพื้นทางขุดขน"/>
      <sheetName val="รองพื้นทางผสมกับวัสดุอื่น"/>
      <sheetName val="รองพื้นทางบดทับ"/>
      <sheetName val="ไหล่ทางลูกรังผสมกับวัสดุอื่น"/>
      <sheetName val="ไหล่ทางลูกรังบดทับ"/>
      <sheetName val="พื้นทางผสมกับวัสดุอื่น"/>
      <sheetName val="พื้นทางบดทับ"/>
      <sheetName val="ตัดแต่งขั้นบันได"/>
      <sheetName val="ขุดรื้อลูกรัง10"/>
      <sheetName val="ขุดรื้อหินคลุก10"/>
      <sheetName val="ขุดรื้อผิวAC5"/>
      <sheetName val="ลาดยางPrimecoat"/>
      <sheetName val="ลาดยางTackcoat"/>
      <sheetName val="ชั้นเดียว(0.5)"/>
      <sheetName val="ชั้นเดียว(0.75)"/>
      <sheetName val="สองชั้น(0.75-0.375)"/>
      <sheetName val="สองชั้น(1-0.5)"/>
      <sheetName val="ชั้นเดียวเคลือบ(0.5)"/>
      <sheetName val="ชั้นเดียวเคลือบ(0.75)"/>
      <sheetName val="สองชั้นเคลือบ(0.75-0.375)"/>
      <sheetName val="สองชั้นเคลือบ(1-0.5)"/>
      <sheetName val="ค่าผสมAC"/>
      <sheetName val="ค่าปูผิวACบนPC"/>
      <sheetName val="ค่าปูผิวACบนTC"/>
      <sheetName val="ค่าผสมconc"/>
      <sheetName val="ค่าขนส่งconc"/>
      <sheetName val="ค่าแบบข้าง2ข้าง"/>
      <sheetName val="ค่าปูผิวconc"/>
      <sheetName val="ค่าตัดรอยต่อและหยอดยาง"/>
      <sheetName val="ค่าหยอดยางรอยต่อ"/>
      <sheetName val="ค่าบ่มผิวconc"/>
      <sheetName val="ค่าผสมวัสดุลูกรัง"/>
      <sheetName val="ค่าบ่มวัสดุลูกรัง"/>
      <sheetName val="ค่าผสมวัสดุหินคลุก"/>
      <sheetName val="ค่าบ่มวัสดุหินคลุก"/>
      <sheetName val="ค่าpipr15"/>
      <sheetName val="ค่าpipr20"/>
      <sheetName val="ค่าpipr25"/>
      <sheetName val="Slurry"/>
      <sheetName val="fogspray"/>
      <sheetName val="สรุปค่าดำเนินการและค่าเสื่อม"/>
      <sheetName val="ปร.5สะพานคสล."/>
      <sheetName val="บัญชีแสดงปริมาณวัสดุชุดที่ 1"/>
      <sheetName val="บัญชีแสดงปริมาณวัสดุชุดที่ 2"/>
      <sheetName val="บัญชีแสดงปริมาณวัสดุชุดที่ 2.2"/>
      <sheetName val="สรุปBOX"/>
      <sheetName val="สรุปตารางกำแพงbox"/>
      <sheetName val="สรุปตารางถอดแบบbox"/>
      <sheetName val="ตารางกำแพงปากท่อลอดเหลี่ยม"/>
      <sheetName val="บันทึกประเมิน"/>
      <sheetName val="กรอกข้อมูลประเมินราคาชุดที1"/>
      <sheetName val="การแบ่งงวดงานCS"/>
      <sheetName val="รายละเอียดงวดงานที่แนบตามประกาศ"/>
      <sheetName val="รายละเอียดงวดงานใช้แนบสัญญาจ้าง"/>
      <sheetName val="SLOPE PROTECT"/>
      <sheetName val="ตารางถอดแบบสะพาน"/>
      <sheetName val="ตารางถอดแบบbox"/>
      <sheetName val="สรุปถอดแบบสะพาน"/>
      <sheetName val="FACTORFงานทาง"/>
      <sheetName val="FACTORFชุก1งานทาง"/>
      <sheetName val="FACTORFชุก2งานทาง"/>
      <sheetName val="สรุปFACTORFงานทาง"/>
      <sheetName val="ข้อมูลโครงสร้างทาง"/>
      <sheetName val="FACTORFงานสะพาน"/>
      <sheetName val="DATA1_1"/>
      <sheetName val="DATA1_2"/>
      <sheetName val="DATA1_3"/>
      <sheetName val="DATA1_4"/>
      <sheetName val="DATA1_5"/>
      <sheetName val="DATA1_6"/>
      <sheetName val="DATA1_7"/>
      <sheetName val="DATA1_8"/>
      <sheetName val="DATA2"/>
      <sheetName val="DATA6"/>
      <sheetName val="DATA3"/>
      <sheetName val="DATA4"/>
      <sheetName val="DATA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เมนู"/>
      <sheetName val="ข้อมูลโครงการ"/>
      <sheetName val="ปกทช"/>
      <sheetName val="ปร.5ทช"/>
      <sheetName val="ปร.4"/>
      <sheetName val="รายการประมาณราคาต่อหน่วย"/>
      <sheetName val="ข้อมูลประกอบประมาณราคา"/>
      <sheetName val="สรุปค่าดำเนินการและค่าเสื่อม"/>
      <sheetName val="ข้อมูลโครงสร้างทาง"/>
      <sheetName val="เลือกชนิดวัสดุมวลรวม"/>
      <sheetName val="เลือกวิธีคำนวณราคา SS"/>
      <sheetName val="ตัวแปรค่าดำเนินการปูลาดAC"/>
      <sheetName val="ค่าขนส่งปูนเมนต์"/>
      <sheetName val="ค่าขนส่งทราย"/>
      <sheetName val="ค่าขนส่งหิน"/>
      <sheetName val="ค่าขนส่งกรวดโม่"/>
      <sheetName val="ค่าขนส่งยาง"/>
      <sheetName val="ค่าขนส่งหินผสมAC"/>
      <sheetName val="ค่าขนส่งHM"/>
      <sheetName val="ค่าขนส่งเครืองจักร 80"/>
      <sheetName val="ค่าขนส่งacในสายทาง"/>
      <sheetName val="ค่าขนส่งเหล็ก"/>
      <sheetName val="ค่าขนส่งเหล็กรูปพรรณ"/>
      <sheetName val="ค่าขนส่งไม้แบบ"/>
      <sheetName val="ค่าขนส่งดินถม"/>
      <sheetName val="ค่าขนส่งลูกรังและวัสดุคัดเลือก"/>
      <sheetName val="ค่าขนส่งดินทิ้ง"/>
      <sheetName val="ค่าขนส่งไม้โครงสร้าง"/>
      <sheetName val="ค่าขนส่งท่อลอดกลม คสล."/>
      <sheetName val="กรอกข้อมูลประเมินราคาชุดที่2"/>
      <sheetName val="ประเภทงาน"/>
      <sheetName val="ค่าขนส่ง"/>
      <sheetName val="ค่าดำเนินการและค่าเสื่อม"/>
      <sheetName val="ถางป่าขุดตอขนาดเบา"/>
      <sheetName val="ถางป่าขุดตอขนาดกลาง"/>
      <sheetName val="ถางป่าขุดตอขนาดหนัก"/>
      <sheetName val="ดินคันทางขุดขน"/>
      <sheetName val="ดินคันทางบดทับ"/>
      <sheetName val="ดินขุดตัด"/>
      <sheetName val="ดินตัก"/>
      <sheetName val="หินผุขัดตัด"/>
      <sheetName val="หินผุดันตัก"/>
      <sheetName val="หินแข็งเจาะระเบิด"/>
      <sheetName val="หินแข็งดันตัก"/>
      <sheetName val="รองพื้นทางขุดขน"/>
      <sheetName val="รองพื้นทางผสมกับวัสดุอื่น"/>
      <sheetName val="รองพื้นทางบดทับ"/>
      <sheetName val="ไหล่ทางลูกรังผสมกับวัสดุอื่น"/>
      <sheetName val="ไหล่ทางลูกรังบดทับ"/>
      <sheetName val="พื้นทางผสมกับวัสดุอื่น"/>
      <sheetName val="พื้นทางบดทับ"/>
      <sheetName val="ตัดแต่งขั้นบันได"/>
      <sheetName val="ขุดรื้อลูกรัง10"/>
      <sheetName val="ขุดรื้อหินคลุก10"/>
      <sheetName val="ขุดรื้อผิวAC5"/>
      <sheetName val="ลาดยางPrimecoat"/>
      <sheetName val="ลาดยางTackcoat"/>
      <sheetName val="ชั้นเดียว(0.5)"/>
      <sheetName val="ชั้นเดียว(0.75)"/>
      <sheetName val="สองชั้น(0.75-0.375)"/>
      <sheetName val="สองชั้น(1-0.5)"/>
      <sheetName val="ชั้นเดียวเคลือบ(0.5)"/>
      <sheetName val="ชั้นเดียวเคลือบ(0.75)"/>
      <sheetName val="สองชั้นเคลือบ(0.75-0.375)"/>
      <sheetName val="สองชั้นเคลือบ(1-0.5)"/>
      <sheetName val="ค่าผสมAC"/>
      <sheetName val="ค่าปูผิวACบนPC"/>
      <sheetName val="ค่าปูผิวACบนTC"/>
      <sheetName val="ค่าผสมconc"/>
      <sheetName val="ค่าขนส่งconc"/>
      <sheetName val="ค่าแบบข้าง2ข้าง"/>
      <sheetName val="ค่าปูผิวconc"/>
      <sheetName val="ค่าตัดรอยต่อและหยอดยาง"/>
      <sheetName val="ค่าหยอดยางรอยต่อ"/>
      <sheetName val="ค่าบ่มผิวconc"/>
      <sheetName val="ค่าผสมวัสดุลูกรัง"/>
      <sheetName val="ค่าบ่มวัสดุลูกรัง"/>
      <sheetName val="ค่าผสมวัสดุหินคลุก"/>
      <sheetName val="ค่าบ่มวัสดุหินคลุก"/>
      <sheetName val="ค่าpipr15"/>
      <sheetName val="ค่าpipr20"/>
      <sheetName val="ค่าpipr25"/>
      <sheetName val="Slurry"/>
      <sheetName val="fogspray"/>
      <sheetName val="ปร.4สะพานคสล."/>
      <sheetName val="ปร.5สะพานคสล."/>
      <sheetName val="บัญชีแสดงปริมาณวัสดุชุดที่ 1"/>
      <sheetName val="บัญชีแสดงปริมาณวัสดุชุดที่ 2"/>
      <sheetName val="บัญชีแสดงปริมาณวัสดุชุดที่ 2.2"/>
      <sheetName val="สรุปBOX"/>
      <sheetName val="สรุปตารางกำแพงbox"/>
      <sheetName val="สรุปตารางถอดแบบbox"/>
      <sheetName val="ตารางกำแพงปากท่อลอดเหลี่ยม"/>
      <sheetName val="บันทึกประเมิน"/>
      <sheetName val="กรอกข้อมูลประเมินราคาชุดที1"/>
      <sheetName val="การแบ่งงวดงานCS"/>
      <sheetName val="รายละเอียดงวดงานที่แนบตามประกาศ"/>
      <sheetName val="รายละเอียดงวดงานใช้แนบสัญญาจ้าง"/>
      <sheetName val="SLOPE PROTECT"/>
      <sheetName val="ตารางถอดแบบสะพาน"/>
      <sheetName val="ตารางถอดแบบbox"/>
      <sheetName val="ตารางถอดแบบกำแพงปากท่อ"/>
      <sheetName val="สรุปถอดแบบสะพาน"/>
      <sheetName val="FACTORFงานทาง"/>
      <sheetName val="FACTORFชุก1งานทาง"/>
      <sheetName val="FACTORFชุก2งานทาง"/>
      <sheetName val="งานป้าย"/>
      <sheetName val="DATA1_1"/>
      <sheetName val="DATA1_2"/>
      <sheetName val="DATA5"/>
      <sheetName val="ปรับปรุงป้าย"/>
      <sheetName val="ท่อคสล"/>
      <sheetName val="ทางเชื่อม"/>
      <sheetName val="DATA1_3"/>
      <sheetName val="DATA1_4"/>
      <sheetName val="DATA1_5"/>
      <sheetName val="DATA1_6"/>
      <sheetName val="DATA1_7"/>
      <sheetName val="DATA1_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2"/>
      <sheetName val="S3"/>
      <sheetName val="ข้อมูล"/>
      <sheetName val="ปร.4"/>
      <sheetName val="ปร.5"/>
      <sheetName val="ข้อมูลแก้"/>
      <sheetName val="ปร.4ท่อ2"/>
      <sheetName val="วัสดุ"/>
      <sheetName val="เงินจร"/>
      <sheetName val="ปริมาณงานท่อ1.1"/>
      <sheetName val="ปริมาณงานท่อ2"/>
      <sheetName val="ปร.4ท่อ1.1"/>
      <sheetName val="ปร.4ท่อ1.2"/>
      <sheetName val="ปริมาณงานท่อ1.2"/>
      <sheetName val="ปริมาณงานท่อ1.3"/>
      <sheetName val="ปริมาณงานท่อ1.4"/>
      <sheetName val="ปร.4ท่อ1.3"/>
    </sheetNames>
    <sheetDataSet>
      <sheetData sheetId="0" refreshError="1"/>
      <sheetData sheetId="1" refreshError="1"/>
      <sheetData sheetId="2">
        <row r="4">
          <cell r="C4" t="str">
            <v>โครงการบำรุงรักษาทาง ( ซ่อมสร้างผิวทางแอสฟัลติกคอนกรีต )</v>
          </cell>
        </row>
      </sheetData>
      <sheetData sheetId="3" refreshError="1"/>
      <sheetData sheetId="4">
        <row r="8">
          <cell r="J8">
            <v>5</v>
          </cell>
        </row>
      </sheetData>
      <sheetData sheetId="5">
        <row r="72">
          <cell r="H72">
            <v>0</v>
          </cell>
        </row>
        <row r="73">
          <cell r="H73">
            <v>0</v>
          </cell>
        </row>
        <row r="74">
          <cell r="H74">
            <v>0</v>
          </cell>
        </row>
        <row r="92">
          <cell r="H92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S2"/>
      <sheetName val="S3"/>
      <sheetName val="ข้อมูล"/>
      <sheetName val="ปร.4"/>
      <sheetName val="ปร.5"/>
      <sheetName val="ข้อมูลแก้"/>
      <sheetName val="ปร.4ท่อ1.1"/>
      <sheetName val="ปร.4ท่อ2.1"/>
      <sheetName val="ปร.4ท่อ3.1"/>
      <sheetName val="งานอำนวยการ"/>
      <sheetName val="ข้อมุลงานอำนวยการ"/>
      <sheetName val="วัสดุ"/>
      <sheetName val="เงินจร"/>
      <sheetName val="ปร.4ท่อ1.2"/>
      <sheetName val="ปร.4ท่อ2.2"/>
      <sheetName val="ปริมาณงานท่อ1.1"/>
      <sheetName val="ปริมาณงานท่อ2.1"/>
      <sheetName val="ปริมาณงานท่อ1.2"/>
      <sheetName val="ปริมาณงานท่อ2.2"/>
      <sheetName val="ปริมาณงานท่อ1.4"/>
      <sheetName val="ปริมาณงานท่อ3.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72">
          <cell r="H72">
            <v>0</v>
          </cell>
        </row>
        <row r="73">
          <cell r="H73">
            <v>0</v>
          </cell>
        </row>
        <row r="74">
          <cell r="H74">
            <v>0</v>
          </cell>
        </row>
        <row r="92">
          <cell r="H92">
            <v>1</v>
          </cell>
        </row>
      </sheetData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เมนู"/>
      <sheetName val="กรอกข้อมูลโครงการ"/>
      <sheetName val="กรอกปริมาณวัสดุ"/>
      <sheetName val="กรอกป้ายจราจร"/>
      <sheetName val="กรอกราคาวัสดุ"/>
      <sheetName val="Oil"/>
      <sheetName val="ค่างานต้นทุน"/>
      <sheetName val="ค่าเสื่อมราคา"/>
      <sheetName val="ราคาป้ายจราจร"/>
      <sheetName val="กรอกข้อมูลความเสียหาย"/>
      <sheetName val="Fi_road"/>
      <sheetName val="Ffo_road"/>
      <sheetName val="Lateriti"/>
      <sheetName val="Slerry Seal"/>
      <sheetName val="cape seal"/>
      <sheetName val="SST."/>
      <sheetName val="Rec_ac"/>
      <sheetName val="Pa_Ac"/>
      <sheetName val="Recycling"/>
      <sheetName val="อำนวยการ"/>
      <sheetName val="ดอกเบี้ย"/>
      <sheetName val="FACTOR F"/>
      <sheetName val="งานกำแพงปากท่อ"/>
      <sheetName val="ขนาด ท่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B5">
            <v>1</v>
          </cell>
          <cell r="C5" t="str">
            <v>5.18</v>
          </cell>
          <cell r="D5">
            <v>7.25</v>
          </cell>
          <cell r="F5" t="str">
            <v>3.06</v>
          </cell>
          <cell r="G5">
            <v>4.28</v>
          </cell>
        </row>
        <row r="6">
          <cell r="B6">
            <v>2</v>
          </cell>
          <cell r="C6" t="str">
            <v>6.67</v>
          </cell>
          <cell r="D6">
            <v>9.34</v>
          </cell>
          <cell r="F6" t="str">
            <v>4.18</v>
          </cell>
          <cell r="G6">
            <v>5.85</v>
          </cell>
        </row>
        <row r="7">
          <cell r="B7">
            <v>3</v>
          </cell>
          <cell r="C7" t="str">
            <v>8.17</v>
          </cell>
          <cell r="D7">
            <v>11.44</v>
          </cell>
          <cell r="F7" t="str">
            <v>5.3</v>
          </cell>
          <cell r="G7">
            <v>7.42</v>
          </cell>
        </row>
        <row r="8">
          <cell r="B8">
            <v>4</v>
          </cell>
          <cell r="C8" t="str">
            <v>9.66</v>
          </cell>
          <cell r="D8">
            <v>13.52</v>
          </cell>
          <cell r="F8" t="str">
            <v>6.42</v>
          </cell>
          <cell r="G8">
            <v>8.99</v>
          </cell>
        </row>
        <row r="9">
          <cell r="B9">
            <v>5</v>
          </cell>
          <cell r="C9" t="str">
            <v>11.16</v>
          </cell>
          <cell r="D9">
            <v>15.62</v>
          </cell>
          <cell r="F9" t="str">
            <v>7.54</v>
          </cell>
          <cell r="G9">
            <v>10.56</v>
          </cell>
        </row>
        <row r="10">
          <cell r="B10">
            <v>6</v>
          </cell>
          <cell r="C10" t="str">
            <v>12.66</v>
          </cell>
          <cell r="D10">
            <v>17.72</v>
          </cell>
          <cell r="F10" t="str">
            <v>8.66</v>
          </cell>
          <cell r="G10">
            <v>12.12</v>
          </cell>
        </row>
        <row r="11">
          <cell r="B11">
            <v>7</v>
          </cell>
          <cell r="C11" t="str">
            <v>14.15</v>
          </cell>
          <cell r="D11">
            <v>19.809999999999999</v>
          </cell>
          <cell r="F11" t="str">
            <v>9.78</v>
          </cell>
          <cell r="G11">
            <v>13.69</v>
          </cell>
        </row>
        <row r="12">
          <cell r="B12">
            <v>8</v>
          </cell>
          <cell r="C12" t="str">
            <v>15.79</v>
          </cell>
          <cell r="D12">
            <v>22.11</v>
          </cell>
          <cell r="F12" t="str">
            <v>10.9</v>
          </cell>
          <cell r="G12">
            <v>15.26</v>
          </cell>
        </row>
        <row r="13">
          <cell r="B13">
            <v>9</v>
          </cell>
          <cell r="C13" t="str">
            <v>17.67</v>
          </cell>
          <cell r="D13">
            <v>24.74</v>
          </cell>
          <cell r="F13" t="str">
            <v>12.02</v>
          </cell>
          <cell r="G13">
            <v>16.829999999999998</v>
          </cell>
        </row>
        <row r="14">
          <cell r="B14">
            <v>10</v>
          </cell>
          <cell r="C14" t="str">
            <v>19.55</v>
          </cell>
          <cell r="D14">
            <v>27.37</v>
          </cell>
          <cell r="F14" t="str">
            <v>13.14</v>
          </cell>
          <cell r="G14">
            <v>18.399999999999999</v>
          </cell>
        </row>
        <row r="15">
          <cell r="B15">
            <v>11</v>
          </cell>
          <cell r="C15" t="str">
            <v>21.43</v>
          </cell>
          <cell r="D15">
            <v>30</v>
          </cell>
          <cell r="F15" t="str">
            <v>14.26</v>
          </cell>
          <cell r="G15">
            <v>19.96</v>
          </cell>
        </row>
        <row r="16">
          <cell r="B16">
            <v>12</v>
          </cell>
          <cell r="C16" t="str">
            <v>23.31</v>
          </cell>
          <cell r="D16">
            <v>32.630000000000003</v>
          </cell>
          <cell r="F16" t="str">
            <v>15.38</v>
          </cell>
          <cell r="G16">
            <v>21.53</v>
          </cell>
        </row>
        <row r="17">
          <cell r="B17">
            <v>13</v>
          </cell>
          <cell r="C17" t="str">
            <v>25.19</v>
          </cell>
          <cell r="D17">
            <v>35.270000000000003</v>
          </cell>
          <cell r="F17" t="str">
            <v>16.5</v>
          </cell>
          <cell r="G17">
            <v>23.1</v>
          </cell>
        </row>
        <row r="18">
          <cell r="B18">
            <v>14</v>
          </cell>
          <cell r="C18" t="str">
            <v>27.07</v>
          </cell>
          <cell r="D18">
            <v>37.9</v>
          </cell>
          <cell r="F18" t="str">
            <v>17.62</v>
          </cell>
          <cell r="G18">
            <v>24.67</v>
          </cell>
        </row>
        <row r="19">
          <cell r="B19">
            <v>15</v>
          </cell>
          <cell r="C19" t="str">
            <v>28.95</v>
          </cell>
          <cell r="D19">
            <v>40.53</v>
          </cell>
          <cell r="F19" t="str">
            <v>18.77</v>
          </cell>
          <cell r="G19">
            <v>26.28</v>
          </cell>
        </row>
        <row r="20">
          <cell r="B20">
            <v>16</v>
          </cell>
          <cell r="C20" t="str">
            <v>30.84</v>
          </cell>
          <cell r="D20">
            <v>43.18</v>
          </cell>
          <cell r="F20" t="str">
            <v>20</v>
          </cell>
          <cell r="G20">
            <v>28</v>
          </cell>
        </row>
        <row r="21">
          <cell r="B21">
            <v>17</v>
          </cell>
          <cell r="C21" t="str">
            <v>32.72</v>
          </cell>
          <cell r="D21">
            <v>45.81</v>
          </cell>
          <cell r="F21" t="str">
            <v>21.22</v>
          </cell>
          <cell r="G21">
            <v>29.71</v>
          </cell>
        </row>
        <row r="22">
          <cell r="B22">
            <v>18</v>
          </cell>
          <cell r="C22" t="str">
            <v>34.6</v>
          </cell>
          <cell r="D22">
            <v>48.44</v>
          </cell>
          <cell r="F22" t="str">
            <v>22.45</v>
          </cell>
          <cell r="G22">
            <v>31.43</v>
          </cell>
        </row>
        <row r="23">
          <cell r="B23">
            <v>19</v>
          </cell>
          <cell r="C23" t="str">
            <v>36.48</v>
          </cell>
          <cell r="D23">
            <v>51.07</v>
          </cell>
          <cell r="F23" t="str">
            <v>23.68</v>
          </cell>
          <cell r="G23">
            <v>33.15</v>
          </cell>
        </row>
        <row r="24">
          <cell r="B24">
            <v>20</v>
          </cell>
          <cell r="C24" t="str">
            <v>38.36</v>
          </cell>
          <cell r="D24">
            <v>53.7</v>
          </cell>
          <cell r="F24" t="str">
            <v>24.9</v>
          </cell>
          <cell r="G24">
            <v>34.86</v>
          </cell>
        </row>
        <row r="25">
          <cell r="B25">
            <v>21</v>
          </cell>
          <cell r="C25" t="str">
            <v>40.24</v>
          </cell>
          <cell r="D25">
            <v>56.34</v>
          </cell>
          <cell r="F25" t="str">
            <v>26.13</v>
          </cell>
          <cell r="G25">
            <v>36.58</v>
          </cell>
        </row>
        <row r="26">
          <cell r="B26">
            <v>22</v>
          </cell>
          <cell r="C26" t="str">
            <v>42.13</v>
          </cell>
          <cell r="D26">
            <v>58.98</v>
          </cell>
          <cell r="F26" t="str">
            <v>27.35</v>
          </cell>
          <cell r="G26">
            <v>38.29</v>
          </cell>
        </row>
        <row r="27">
          <cell r="B27">
            <v>23</v>
          </cell>
          <cell r="C27" t="str">
            <v>44</v>
          </cell>
          <cell r="D27">
            <v>61.6</v>
          </cell>
          <cell r="F27" t="str">
            <v>28.58</v>
          </cell>
          <cell r="G27">
            <v>40.01</v>
          </cell>
        </row>
        <row r="28">
          <cell r="B28">
            <v>24</v>
          </cell>
          <cell r="C28" t="str">
            <v>45.89</v>
          </cell>
          <cell r="D28">
            <v>64.25</v>
          </cell>
          <cell r="F28" t="str">
            <v>29.8</v>
          </cell>
          <cell r="G28">
            <v>41.72</v>
          </cell>
        </row>
        <row r="29">
          <cell r="B29">
            <v>25</v>
          </cell>
          <cell r="C29" t="str">
            <v>47.77</v>
          </cell>
          <cell r="D29">
            <v>66.88</v>
          </cell>
          <cell r="F29" t="str">
            <v>31.03</v>
          </cell>
          <cell r="G29">
            <v>43.44</v>
          </cell>
        </row>
        <row r="30">
          <cell r="B30">
            <v>26</v>
          </cell>
          <cell r="C30" t="str">
            <v>49.65</v>
          </cell>
          <cell r="D30">
            <v>69.510000000000005</v>
          </cell>
          <cell r="F30" t="str">
            <v>32.25</v>
          </cell>
          <cell r="G30">
            <v>45.15</v>
          </cell>
        </row>
        <row r="31">
          <cell r="B31">
            <v>27</v>
          </cell>
          <cell r="C31" t="str">
            <v>51.53</v>
          </cell>
          <cell r="D31">
            <v>72.14</v>
          </cell>
          <cell r="F31" t="str">
            <v>33.48</v>
          </cell>
          <cell r="G31">
            <v>46.87</v>
          </cell>
        </row>
        <row r="32">
          <cell r="B32">
            <v>28</v>
          </cell>
          <cell r="C32" t="str">
            <v>53.42</v>
          </cell>
          <cell r="D32">
            <v>74.790000000000006</v>
          </cell>
          <cell r="F32" t="str">
            <v>34.71</v>
          </cell>
          <cell r="G32">
            <v>48.59</v>
          </cell>
        </row>
        <row r="33">
          <cell r="B33">
            <v>29</v>
          </cell>
          <cell r="C33" t="str">
            <v>55.29</v>
          </cell>
          <cell r="D33">
            <v>77.41</v>
          </cell>
          <cell r="F33" t="str">
            <v>35.93</v>
          </cell>
          <cell r="G33">
            <v>50.3</v>
          </cell>
        </row>
        <row r="34">
          <cell r="B34">
            <v>30</v>
          </cell>
          <cell r="C34" t="str">
            <v>57.18</v>
          </cell>
          <cell r="D34">
            <v>80.05</v>
          </cell>
          <cell r="F34" t="str">
            <v>37.16</v>
          </cell>
          <cell r="G34">
            <v>52.02</v>
          </cell>
        </row>
        <row r="35">
          <cell r="B35">
            <v>31</v>
          </cell>
          <cell r="C35" t="str">
            <v>59.05</v>
          </cell>
          <cell r="D35">
            <v>82.67</v>
          </cell>
          <cell r="F35" t="str">
            <v>38.38</v>
          </cell>
          <cell r="G35">
            <v>53.73</v>
          </cell>
        </row>
        <row r="36">
          <cell r="B36">
            <v>32</v>
          </cell>
          <cell r="C36" t="str">
            <v>60.94</v>
          </cell>
          <cell r="D36">
            <v>85.32</v>
          </cell>
          <cell r="F36" t="str">
            <v>39.61</v>
          </cell>
          <cell r="G36">
            <v>55.45</v>
          </cell>
        </row>
        <row r="37">
          <cell r="B37">
            <v>33</v>
          </cell>
          <cell r="C37" t="str">
            <v>62.82</v>
          </cell>
          <cell r="D37">
            <v>87.95</v>
          </cell>
          <cell r="F37" t="str">
            <v>40.83</v>
          </cell>
          <cell r="G37">
            <v>57.16</v>
          </cell>
        </row>
        <row r="38">
          <cell r="B38">
            <v>34</v>
          </cell>
          <cell r="C38" t="str">
            <v>64.71</v>
          </cell>
          <cell r="D38">
            <v>90.59</v>
          </cell>
          <cell r="F38" t="str">
            <v>42.06</v>
          </cell>
          <cell r="G38">
            <v>58.88</v>
          </cell>
        </row>
        <row r="39">
          <cell r="B39">
            <v>35</v>
          </cell>
          <cell r="C39" t="str">
            <v>66.58</v>
          </cell>
          <cell r="D39">
            <v>93.21</v>
          </cell>
          <cell r="F39" t="str">
            <v>43.28</v>
          </cell>
          <cell r="G39">
            <v>60.59</v>
          </cell>
        </row>
        <row r="40">
          <cell r="B40">
            <v>36</v>
          </cell>
          <cell r="C40" t="str">
            <v>68.47</v>
          </cell>
          <cell r="D40">
            <v>95.86</v>
          </cell>
          <cell r="F40" t="str">
            <v>44.51</v>
          </cell>
          <cell r="G40">
            <v>62.31</v>
          </cell>
        </row>
        <row r="41">
          <cell r="B41">
            <v>37</v>
          </cell>
          <cell r="C41" t="str">
            <v>70.35</v>
          </cell>
          <cell r="D41">
            <v>98.49</v>
          </cell>
          <cell r="F41" t="str">
            <v>45.74</v>
          </cell>
          <cell r="G41">
            <v>64.040000000000006</v>
          </cell>
        </row>
        <row r="42">
          <cell r="B42">
            <v>38</v>
          </cell>
          <cell r="C42" t="str">
            <v>72.24</v>
          </cell>
          <cell r="D42">
            <v>101.14</v>
          </cell>
          <cell r="F42" t="str">
            <v>46.96</v>
          </cell>
          <cell r="G42">
            <v>65.739999999999995</v>
          </cell>
        </row>
        <row r="43">
          <cell r="B43">
            <v>39</v>
          </cell>
          <cell r="C43" t="str">
            <v>74.12</v>
          </cell>
          <cell r="D43">
            <v>103.77</v>
          </cell>
          <cell r="F43" t="str">
            <v>48.19</v>
          </cell>
          <cell r="G43">
            <v>67.47</v>
          </cell>
        </row>
        <row r="44">
          <cell r="B44">
            <v>40</v>
          </cell>
          <cell r="C44" t="str">
            <v>75.99</v>
          </cell>
          <cell r="D44">
            <v>106.39</v>
          </cell>
          <cell r="F44" t="str">
            <v>49.41</v>
          </cell>
          <cell r="G44">
            <v>69.17</v>
          </cell>
        </row>
        <row r="45">
          <cell r="B45">
            <v>41</v>
          </cell>
          <cell r="C45" t="str">
            <v>77.88</v>
          </cell>
          <cell r="D45">
            <v>109.03</v>
          </cell>
          <cell r="F45" t="str">
            <v>50.64</v>
          </cell>
          <cell r="G45">
            <v>70.900000000000006</v>
          </cell>
        </row>
        <row r="46">
          <cell r="B46">
            <v>42</v>
          </cell>
          <cell r="C46" t="str">
            <v>79.76</v>
          </cell>
          <cell r="D46">
            <v>111.66</v>
          </cell>
          <cell r="F46" t="str">
            <v>51.87</v>
          </cell>
          <cell r="G46">
            <v>72.62</v>
          </cell>
        </row>
        <row r="47">
          <cell r="B47">
            <v>43</v>
          </cell>
          <cell r="C47" t="str">
            <v>81.64</v>
          </cell>
          <cell r="D47">
            <v>114.3</v>
          </cell>
          <cell r="F47" t="str">
            <v>53.09</v>
          </cell>
          <cell r="G47">
            <v>74.33</v>
          </cell>
        </row>
        <row r="48">
          <cell r="B48">
            <v>44</v>
          </cell>
          <cell r="C48" t="str">
            <v>83.52</v>
          </cell>
          <cell r="D48">
            <v>116.93</v>
          </cell>
          <cell r="F48" t="str">
            <v>54.32</v>
          </cell>
          <cell r="G48">
            <v>76.05</v>
          </cell>
        </row>
        <row r="49">
          <cell r="B49">
            <v>45</v>
          </cell>
          <cell r="C49" t="str">
            <v>85.4</v>
          </cell>
          <cell r="D49">
            <v>119.56</v>
          </cell>
          <cell r="F49" t="str">
            <v>55.54</v>
          </cell>
          <cell r="G49">
            <v>77.760000000000005</v>
          </cell>
        </row>
        <row r="50">
          <cell r="B50">
            <v>46</v>
          </cell>
          <cell r="C50" t="str">
            <v>87.29</v>
          </cell>
          <cell r="D50">
            <v>122.21</v>
          </cell>
          <cell r="F50" t="str">
            <v>56.77</v>
          </cell>
          <cell r="G50">
            <v>79.48</v>
          </cell>
        </row>
        <row r="51">
          <cell r="B51">
            <v>47</v>
          </cell>
          <cell r="C51" t="str">
            <v>89.16</v>
          </cell>
          <cell r="D51">
            <v>124.82</v>
          </cell>
          <cell r="F51" t="str">
            <v>58</v>
          </cell>
          <cell r="G51">
            <v>81.2</v>
          </cell>
        </row>
        <row r="52">
          <cell r="B52">
            <v>48</v>
          </cell>
          <cell r="C52" t="str">
            <v>91.05</v>
          </cell>
          <cell r="D52">
            <v>127.47</v>
          </cell>
          <cell r="F52" t="str">
            <v>59.22</v>
          </cell>
          <cell r="G52">
            <v>82.91</v>
          </cell>
        </row>
        <row r="53">
          <cell r="B53">
            <v>49</v>
          </cell>
          <cell r="C53" t="str">
            <v>92.92</v>
          </cell>
          <cell r="D53">
            <v>130.09</v>
          </cell>
          <cell r="F53" t="str">
            <v>60.45</v>
          </cell>
          <cell r="G53">
            <v>84.63</v>
          </cell>
        </row>
        <row r="54">
          <cell r="B54">
            <v>50</v>
          </cell>
          <cell r="C54" t="str">
            <v>94.8</v>
          </cell>
          <cell r="D54">
            <v>132.72</v>
          </cell>
          <cell r="F54" t="str">
            <v>61.67</v>
          </cell>
          <cell r="G54">
            <v>86.34</v>
          </cell>
        </row>
        <row r="55">
          <cell r="B55">
            <v>51</v>
          </cell>
          <cell r="C55" t="str">
            <v>96.69</v>
          </cell>
          <cell r="D55">
            <v>135.37</v>
          </cell>
          <cell r="F55" t="str">
            <v>62.9</v>
          </cell>
          <cell r="G55">
            <v>88.06</v>
          </cell>
        </row>
        <row r="56">
          <cell r="B56">
            <v>52</v>
          </cell>
          <cell r="C56" t="str">
            <v>98.56</v>
          </cell>
          <cell r="D56">
            <v>137.97999999999999</v>
          </cell>
          <cell r="F56" t="str">
            <v>64.12</v>
          </cell>
          <cell r="G56">
            <v>89.77</v>
          </cell>
        </row>
        <row r="57">
          <cell r="B57">
            <v>53</v>
          </cell>
          <cell r="C57" t="str">
            <v>100.45</v>
          </cell>
          <cell r="D57">
            <v>140.63</v>
          </cell>
          <cell r="F57" t="str">
            <v>65.34</v>
          </cell>
          <cell r="G57">
            <v>91.48</v>
          </cell>
        </row>
        <row r="58">
          <cell r="B58">
            <v>54</v>
          </cell>
          <cell r="C58" t="str">
            <v>102.34</v>
          </cell>
          <cell r="D58">
            <v>143.28</v>
          </cell>
          <cell r="F58" t="str">
            <v>66.57</v>
          </cell>
          <cell r="G58">
            <v>93.2</v>
          </cell>
        </row>
        <row r="59">
          <cell r="B59">
            <v>55</v>
          </cell>
          <cell r="C59" t="str">
            <v>104.21</v>
          </cell>
          <cell r="D59">
            <v>145.88999999999999</v>
          </cell>
          <cell r="F59" t="str">
            <v>67.8</v>
          </cell>
          <cell r="G59">
            <v>94.92</v>
          </cell>
        </row>
        <row r="60">
          <cell r="B60">
            <v>56</v>
          </cell>
          <cell r="C60" t="str">
            <v>106.09</v>
          </cell>
          <cell r="D60">
            <v>148.53</v>
          </cell>
          <cell r="F60" t="str">
            <v>69.02</v>
          </cell>
          <cell r="G60">
            <v>96.63</v>
          </cell>
        </row>
        <row r="61">
          <cell r="B61">
            <v>57</v>
          </cell>
          <cell r="C61" t="str">
            <v>107.97</v>
          </cell>
          <cell r="D61">
            <v>151.16</v>
          </cell>
          <cell r="F61" t="str">
            <v>70.25</v>
          </cell>
          <cell r="G61">
            <v>98.35</v>
          </cell>
        </row>
        <row r="62">
          <cell r="B62">
            <v>58</v>
          </cell>
          <cell r="C62" t="str">
            <v>109.87</v>
          </cell>
          <cell r="D62">
            <v>153.82</v>
          </cell>
          <cell r="F62" t="str">
            <v>71.47</v>
          </cell>
          <cell r="G62">
            <v>100.06</v>
          </cell>
        </row>
        <row r="63">
          <cell r="B63">
            <v>59</v>
          </cell>
          <cell r="C63" t="str">
            <v>111.74</v>
          </cell>
          <cell r="D63">
            <v>156.44</v>
          </cell>
          <cell r="F63" t="str">
            <v>72.7</v>
          </cell>
          <cell r="G63">
            <v>101.78</v>
          </cell>
        </row>
        <row r="64">
          <cell r="B64">
            <v>60</v>
          </cell>
          <cell r="C64" t="str">
            <v>113.62</v>
          </cell>
          <cell r="D64">
            <v>159.07</v>
          </cell>
          <cell r="F64" t="str">
            <v>73.93</v>
          </cell>
          <cell r="G64">
            <v>103.5</v>
          </cell>
        </row>
        <row r="65">
          <cell r="B65">
            <v>61</v>
          </cell>
          <cell r="C65" t="str">
            <v>115.51</v>
          </cell>
          <cell r="D65">
            <v>161.71</v>
          </cell>
          <cell r="F65" t="str">
            <v>75.15</v>
          </cell>
          <cell r="G65">
            <v>105.21</v>
          </cell>
        </row>
        <row r="66">
          <cell r="B66">
            <v>62</v>
          </cell>
          <cell r="C66" t="str">
            <v>117.41</v>
          </cell>
          <cell r="D66">
            <v>164.37</v>
          </cell>
          <cell r="F66" t="str">
            <v>76.38</v>
          </cell>
          <cell r="G66">
            <v>106.93</v>
          </cell>
        </row>
        <row r="67">
          <cell r="B67">
            <v>63</v>
          </cell>
          <cell r="C67" t="str">
            <v>119.27</v>
          </cell>
          <cell r="D67">
            <v>166.98</v>
          </cell>
          <cell r="F67" t="str">
            <v>77.61</v>
          </cell>
          <cell r="G67">
            <v>108.65</v>
          </cell>
        </row>
        <row r="68">
          <cell r="B68">
            <v>64</v>
          </cell>
          <cell r="C68" t="str">
            <v>121.14</v>
          </cell>
          <cell r="D68">
            <v>169.6</v>
          </cell>
          <cell r="F68" t="str">
            <v>78.83</v>
          </cell>
          <cell r="G68">
            <v>110.36</v>
          </cell>
        </row>
        <row r="69">
          <cell r="B69">
            <v>65</v>
          </cell>
          <cell r="C69" t="str">
            <v>123.02</v>
          </cell>
          <cell r="D69">
            <v>172.23</v>
          </cell>
          <cell r="F69" t="str">
            <v>80.05</v>
          </cell>
          <cell r="G69">
            <v>112.07</v>
          </cell>
        </row>
        <row r="70">
          <cell r="B70">
            <v>66</v>
          </cell>
          <cell r="C70" t="str">
            <v>124.91</v>
          </cell>
          <cell r="D70">
            <v>174.87</v>
          </cell>
          <cell r="F70" t="str">
            <v>81.28</v>
          </cell>
          <cell r="G70">
            <v>113.79</v>
          </cell>
        </row>
        <row r="71">
          <cell r="B71">
            <v>67</v>
          </cell>
          <cell r="C71" t="str">
            <v>126.8</v>
          </cell>
          <cell r="D71">
            <v>177.52</v>
          </cell>
          <cell r="F71" t="str">
            <v>82.51</v>
          </cell>
          <cell r="G71">
            <v>115.51</v>
          </cell>
        </row>
        <row r="72">
          <cell r="B72">
            <v>68</v>
          </cell>
          <cell r="C72" t="str">
            <v>128.66</v>
          </cell>
          <cell r="D72">
            <v>180.12</v>
          </cell>
          <cell r="F72" t="str">
            <v>83.73</v>
          </cell>
          <cell r="G72">
            <v>117.22</v>
          </cell>
        </row>
        <row r="73">
          <cell r="B73">
            <v>69</v>
          </cell>
          <cell r="C73" t="str">
            <v>130.57</v>
          </cell>
          <cell r="D73">
            <v>182.8</v>
          </cell>
          <cell r="F73" t="str">
            <v>84.96</v>
          </cell>
          <cell r="G73">
            <v>118.94</v>
          </cell>
        </row>
        <row r="74">
          <cell r="B74">
            <v>70</v>
          </cell>
          <cell r="C74" t="str">
            <v>132.44</v>
          </cell>
          <cell r="D74">
            <v>185.42</v>
          </cell>
          <cell r="F74" t="str">
            <v>86.18</v>
          </cell>
          <cell r="G74">
            <v>120.65</v>
          </cell>
        </row>
        <row r="75">
          <cell r="B75">
            <v>71</v>
          </cell>
          <cell r="C75" t="str">
            <v>134.31</v>
          </cell>
          <cell r="D75">
            <v>188.03</v>
          </cell>
          <cell r="F75" t="str">
            <v>87.41</v>
          </cell>
          <cell r="G75">
            <v>122.37</v>
          </cell>
        </row>
        <row r="76">
          <cell r="B76">
            <v>72</v>
          </cell>
          <cell r="C76" t="str">
            <v>136.2</v>
          </cell>
          <cell r="D76">
            <v>190.68</v>
          </cell>
          <cell r="F76" t="str">
            <v>88.64</v>
          </cell>
          <cell r="G76">
            <v>124.1</v>
          </cell>
        </row>
        <row r="77">
          <cell r="B77">
            <v>73</v>
          </cell>
          <cell r="C77" t="str">
            <v>138.09</v>
          </cell>
          <cell r="D77">
            <v>193.33</v>
          </cell>
          <cell r="F77" t="str">
            <v>89.86</v>
          </cell>
          <cell r="G77">
            <v>125.8</v>
          </cell>
        </row>
        <row r="78">
          <cell r="B78">
            <v>74</v>
          </cell>
          <cell r="C78" t="str">
            <v>139.98</v>
          </cell>
          <cell r="D78">
            <v>195.97</v>
          </cell>
          <cell r="F78" t="str">
            <v>91.1</v>
          </cell>
          <cell r="G78">
            <v>127.54</v>
          </cell>
        </row>
        <row r="79">
          <cell r="B79">
            <v>75</v>
          </cell>
          <cell r="C79" t="str">
            <v>141.83</v>
          </cell>
          <cell r="D79">
            <v>198.56</v>
          </cell>
          <cell r="F79" t="str">
            <v>92.32</v>
          </cell>
          <cell r="G79">
            <v>129.25</v>
          </cell>
        </row>
        <row r="80">
          <cell r="B80">
            <v>76</v>
          </cell>
          <cell r="C80" t="str">
            <v>143.74</v>
          </cell>
          <cell r="D80">
            <v>201.24</v>
          </cell>
          <cell r="F80" t="str">
            <v>93.54</v>
          </cell>
          <cell r="G80">
            <v>130.96</v>
          </cell>
        </row>
        <row r="81">
          <cell r="B81">
            <v>77</v>
          </cell>
          <cell r="C81" t="str">
            <v>145.61</v>
          </cell>
          <cell r="D81">
            <v>203.85</v>
          </cell>
          <cell r="F81" t="str">
            <v>94.76</v>
          </cell>
          <cell r="G81">
            <v>132.66</v>
          </cell>
        </row>
        <row r="82">
          <cell r="B82">
            <v>78</v>
          </cell>
          <cell r="C82" t="str">
            <v>147.47</v>
          </cell>
          <cell r="D82">
            <v>206.46</v>
          </cell>
          <cell r="F82" t="str">
            <v>95.99</v>
          </cell>
          <cell r="G82">
            <v>134.38999999999999</v>
          </cell>
        </row>
        <row r="83">
          <cell r="B83">
            <v>79</v>
          </cell>
          <cell r="C83" t="str">
            <v>149.41</v>
          </cell>
          <cell r="D83">
            <v>209.17</v>
          </cell>
          <cell r="F83" t="str">
            <v>97.22</v>
          </cell>
          <cell r="G83">
            <v>136.11000000000001</v>
          </cell>
        </row>
        <row r="84">
          <cell r="B84">
            <v>80</v>
          </cell>
          <cell r="C84" t="str">
            <v>151.28</v>
          </cell>
          <cell r="D84">
            <v>211.79</v>
          </cell>
          <cell r="F84" t="str">
            <v>98.45</v>
          </cell>
          <cell r="G84">
            <v>137.83000000000001</v>
          </cell>
        </row>
        <row r="85">
          <cell r="B85">
            <v>81</v>
          </cell>
          <cell r="C85" t="str">
            <v>153.17</v>
          </cell>
          <cell r="D85">
            <v>214.44</v>
          </cell>
          <cell r="F85" t="str">
            <v>99.68</v>
          </cell>
          <cell r="G85">
            <v>139.55000000000001</v>
          </cell>
        </row>
        <row r="86">
          <cell r="B86">
            <v>82</v>
          </cell>
          <cell r="C86" t="str">
            <v>154.99</v>
          </cell>
          <cell r="D86">
            <v>216.99</v>
          </cell>
          <cell r="F86" t="str">
            <v>100.89</v>
          </cell>
          <cell r="G86">
            <v>141.25</v>
          </cell>
        </row>
        <row r="87">
          <cell r="B87">
            <v>83</v>
          </cell>
          <cell r="C87" t="str">
            <v>156.89</v>
          </cell>
          <cell r="D87">
            <v>219.65</v>
          </cell>
          <cell r="F87" t="str">
            <v>102.13</v>
          </cell>
          <cell r="G87">
            <v>142.97999999999999</v>
          </cell>
        </row>
        <row r="88">
          <cell r="B88">
            <v>84</v>
          </cell>
          <cell r="C88" t="str">
            <v>158.79</v>
          </cell>
          <cell r="D88">
            <v>222.31</v>
          </cell>
          <cell r="F88" t="str">
            <v>103.34</v>
          </cell>
          <cell r="G88">
            <v>144.68</v>
          </cell>
        </row>
        <row r="89">
          <cell r="B89">
            <v>85</v>
          </cell>
          <cell r="C89" t="str">
            <v>160.71</v>
          </cell>
          <cell r="D89">
            <v>224.99</v>
          </cell>
          <cell r="F89" t="str">
            <v>104.58</v>
          </cell>
          <cell r="G89">
            <v>146.41</v>
          </cell>
        </row>
        <row r="90">
          <cell r="B90">
            <v>86</v>
          </cell>
          <cell r="C90" t="str">
            <v>162.55</v>
          </cell>
          <cell r="D90">
            <v>227.57</v>
          </cell>
          <cell r="F90" t="str">
            <v>105.8</v>
          </cell>
          <cell r="G90">
            <v>148.12</v>
          </cell>
        </row>
        <row r="91">
          <cell r="B91">
            <v>87</v>
          </cell>
          <cell r="C91" t="str">
            <v>164.4</v>
          </cell>
          <cell r="D91">
            <v>230.16</v>
          </cell>
          <cell r="F91" t="str">
            <v>107.02</v>
          </cell>
          <cell r="G91">
            <v>149.83000000000001</v>
          </cell>
        </row>
        <row r="92">
          <cell r="B92">
            <v>88</v>
          </cell>
          <cell r="C92" t="str">
            <v>166.33</v>
          </cell>
          <cell r="D92">
            <v>232.86</v>
          </cell>
          <cell r="F92" t="str">
            <v>108.24</v>
          </cell>
          <cell r="G92">
            <v>151.54</v>
          </cell>
        </row>
        <row r="93">
          <cell r="B93">
            <v>89</v>
          </cell>
          <cell r="C93" t="str">
            <v>168.19</v>
          </cell>
          <cell r="D93">
            <v>235.47</v>
          </cell>
          <cell r="F93" t="str">
            <v>109.46</v>
          </cell>
          <cell r="G93">
            <v>153.24</v>
          </cell>
        </row>
        <row r="94">
          <cell r="B94">
            <v>90</v>
          </cell>
          <cell r="C94" t="str">
            <v>170.05</v>
          </cell>
          <cell r="D94">
            <v>238.07</v>
          </cell>
          <cell r="F94" t="str">
            <v>110.71</v>
          </cell>
          <cell r="G94">
            <v>154.99</v>
          </cell>
        </row>
        <row r="95">
          <cell r="B95">
            <v>91</v>
          </cell>
          <cell r="C95" t="str">
            <v>172</v>
          </cell>
          <cell r="D95">
            <v>240.8</v>
          </cell>
          <cell r="F95" t="str">
            <v>111.94</v>
          </cell>
          <cell r="G95">
            <v>156.72</v>
          </cell>
        </row>
        <row r="96">
          <cell r="B96">
            <v>92</v>
          </cell>
          <cell r="C96" t="str">
            <v>173.88</v>
          </cell>
          <cell r="D96">
            <v>243.43</v>
          </cell>
          <cell r="F96" t="str">
            <v>113.14</v>
          </cell>
          <cell r="G96">
            <v>158.4</v>
          </cell>
        </row>
        <row r="97">
          <cell r="B97">
            <v>93</v>
          </cell>
          <cell r="C97" t="str">
            <v>175.76</v>
          </cell>
          <cell r="D97">
            <v>246.06</v>
          </cell>
          <cell r="F97" t="str">
            <v>114.37</v>
          </cell>
          <cell r="G97">
            <v>160.12</v>
          </cell>
        </row>
        <row r="98">
          <cell r="B98">
            <v>94</v>
          </cell>
          <cell r="C98" t="str">
            <v>177.64</v>
          </cell>
          <cell r="D98">
            <v>248.7</v>
          </cell>
          <cell r="F98" t="str">
            <v>115.6</v>
          </cell>
          <cell r="G98">
            <v>161.84</v>
          </cell>
        </row>
        <row r="99">
          <cell r="B99">
            <v>95</v>
          </cell>
          <cell r="C99" t="str">
            <v>179.45</v>
          </cell>
          <cell r="D99">
            <v>251.23</v>
          </cell>
          <cell r="F99" t="str">
            <v>116.83</v>
          </cell>
          <cell r="G99">
            <v>163.56</v>
          </cell>
        </row>
        <row r="100">
          <cell r="B100">
            <v>96</v>
          </cell>
          <cell r="C100" t="str">
            <v>181.34</v>
          </cell>
          <cell r="D100">
            <v>253.88</v>
          </cell>
          <cell r="F100" t="str">
            <v>118.07</v>
          </cell>
          <cell r="G100">
            <v>165.3</v>
          </cell>
        </row>
        <row r="101">
          <cell r="B101">
            <v>97</v>
          </cell>
          <cell r="C101" t="str">
            <v>183.24</v>
          </cell>
          <cell r="D101">
            <v>256.54000000000002</v>
          </cell>
          <cell r="F101" t="str">
            <v>119.28</v>
          </cell>
          <cell r="G101">
            <v>166.99</v>
          </cell>
        </row>
        <row r="102">
          <cell r="B102">
            <v>98</v>
          </cell>
          <cell r="C102" t="str">
            <v>185.15</v>
          </cell>
          <cell r="D102">
            <v>259.20999999999998</v>
          </cell>
          <cell r="F102" t="str">
            <v>120.51</v>
          </cell>
          <cell r="G102">
            <v>168.71</v>
          </cell>
        </row>
        <row r="103">
          <cell r="B103">
            <v>99</v>
          </cell>
          <cell r="C103" t="str">
            <v>187.06</v>
          </cell>
          <cell r="D103">
            <v>261.88</v>
          </cell>
          <cell r="F103" t="str">
            <v>121.72</v>
          </cell>
          <cell r="G103">
            <v>170.41</v>
          </cell>
        </row>
        <row r="104">
          <cell r="B104">
            <v>100</v>
          </cell>
          <cell r="C104" t="str">
            <v>188.89</v>
          </cell>
          <cell r="D104">
            <v>264.45</v>
          </cell>
          <cell r="F104" t="str">
            <v>122.97</v>
          </cell>
          <cell r="G104">
            <v>172.16</v>
          </cell>
        </row>
        <row r="105">
          <cell r="B105">
            <v>101</v>
          </cell>
          <cell r="C105" t="str">
            <v>190.81</v>
          </cell>
          <cell r="D105">
            <v>267.13</v>
          </cell>
          <cell r="F105" t="str">
            <v>124.18</v>
          </cell>
          <cell r="G105">
            <v>173.85</v>
          </cell>
        </row>
        <row r="106">
          <cell r="B106">
            <v>102</v>
          </cell>
          <cell r="C106" t="str">
            <v>192.64</v>
          </cell>
          <cell r="D106">
            <v>269.7</v>
          </cell>
          <cell r="F106" t="str">
            <v>125.42</v>
          </cell>
          <cell r="G106">
            <v>175.59</v>
          </cell>
        </row>
        <row r="107">
          <cell r="B107">
            <v>103</v>
          </cell>
          <cell r="C107" t="str">
            <v>194.58</v>
          </cell>
          <cell r="D107">
            <v>272.41000000000003</v>
          </cell>
          <cell r="F107" t="str">
            <v>126.64</v>
          </cell>
          <cell r="G107">
            <v>177.3</v>
          </cell>
        </row>
        <row r="108">
          <cell r="B108">
            <v>104</v>
          </cell>
          <cell r="C108" t="str">
            <v>196.41</v>
          </cell>
          <cell r="D108">
            <v>274.97000000000003</v>
          </cell>
          <cell r="F108" t="str">
            <v>127.85</v>
          </cell>
          <cell r="G108">
            <v>178.99</v>
          </cell>
        </row>
        <row r="109">
          <cell r="B109">
            <v>105</v>
          </cell>
          <cell r="C109" t="str">
            <v>198.36</v>
          </cell>
          <cell r="D109">
            <v>277.7</v>
          </cell>
          <cell r="F109" t="str">
            <v>129.1</v>
          </cell>
          <cell r="G109">
            <v>180.74</v>
          </cell>
        </row>
        <row r="110">
          <cell r="B110">
            <v>106</v>
          </cell>
          <cell r="C110" t="str">
            <v>200.21</v>
          </cell>
          <cell r="D110">
            <v>280.29000000000002</v>
          </cell>
          <cell r="F110" t="str">
            <v>130.32</v>
          </cell>
          <cell r="G110">
            <v>182.45</v>
          </cell>
        </row>
        <row r="111">
          <cell r="B111">
            <v>107</v>
          </cell>
          <cell r="C111" t="str">
            <v>202.05</v>
          </cell>
          <cell r="D111">
            <v>282.87</v>
          </cell>
          <cell r="F111" t="str">
            <v>131.54</v>
          </cell>
          <cell r="G111">
            <v>184.16</v>
          </cell>
        </row>
        <row r="112">
          <cell r="B112">
            <v>108</v>
          </cell>
          <cell r="C112" t="str">
            <v>203.91</v>
          </cell>
          <cell r="D112">
            <v>285.47000000000003</v>
          </cell>
          <cell r="F112" t="str">
            <v>132.76</v>
          </cell>
          <cell r="G112">
            <v>185.86</v>
          </cell>
        </row>
        <row r="113">
          <cell r="B113">
            <v>109</v>
          </cell>
          <cell r="C113" t="str">
            <v>205.88</v>
          </cell>
          <cell r="D113">
            <v>288.23</v>
          </cell>
          <cell r="F113" t="str">
            <v>133.98</v>
          </cell>
          <cell r="G113">
            <v>187.57</v>
          </cell>
        </row>
        <row r="114">
          <cell r="B114">
            <v>110</v>
          </cell>
          <cell r="C114" t="str">
            <v>207.74</v>
          </cell>
          <cell r="D114">
            <v>290.83999999999997</v>
          </cell>
          <cell r="F114" t="str">
            <v>135.21</v>
          </cell>
          <cell r="G114">
            <v>189.29</v>
          </cell>
        </row>
        <row r="115">
          <cell r="B115">
            <v>111</v>
          </cell>
          <cell r="C115" t="str">
            <v>209.61</v>
          </cell>
          <cell r="D115">
            <v>293.45</v>
          </cell>
          <cell r="F115" t="str">
            <v>136.43</v>
          </cell>
          <cell r="G115">
            <v>191</v>
          </cell>
        </row>
        <row r="116">
          <cell r="B116">
            <v>112</v>
          </cell>
          <cell r="C116" t="str">
            <v>211.48</v>
          </cell>
          <cell r="D116">
            <v>296.07</v>
          </cell>
          <cell r="F116" t="str">
            <v>137.65</v>
          </cell>
          <cell r="G116">
            <v>192.71</v>
          </cell>
        </row>
        <row r="117">
          <cell r="B117">
            <v>113</v>
          </cell>
          <cell r="C117" t="str">
            <v>213.35</v>
          </cell>
          <cell r="D117">
            <v>298.69</v>
          </cell>
          <cell r="F117" t="str">
            <v>138.88</v>
          </cell>
          <cell r="G117">
            <v>194.43</v>
          </cell>
        </row>
        <row r="118">
          <cell r="B118">
            <v>114</v>
          </cell>
          <cell r="C118" t="str">
            <v>215.23</v>
          </cell>
          <cell r="D118">
            <v>301.32</v>
          </cell>
          <cell r="F118" t="str">
            <v>140.11</v>
          </cell>
          <cell r="G118">
            <v>196.15</v>
          </cell>
        </row>
        <row r="119">
          <cell r="B119">
            <v>115</v>
          </cell>
          <cell r="C119" t="str">
            <v>217.11</v>
          </cell>
          <cell r="D119">
            <v>303.95</v>
          </cell>
          <cell r="F119" t="str">
            <v>141.34</v>
          </cell>
          <cell r="G119">
            <v>197.88</v>
          </cell>
        </row>
        <row r="120">
          <cell r="B120">
            <v>116</v>
          </cell>
          <cell r="C120" t="str">
            <v>219</v>
          </cell>
          <cell r="D120">
            <v>306.60000000000002</v>
          </cell>
          <cell r="F120" t="str">
            <v>142.57</v>
          </cell>
          <cell r="G120">
            <v>199.6</v>
          </cell>
        </row>
        <row r="121">
          <cell r="B121">
            <v>117</v>
          </cell>
          <cell r="C121" t="str">
            <v>220.89</v>
          </cell>
          <cell r="D121">
            <v>309.25</v>
          </cell>
          <cell r="F121" t="str">
            <v>143.8</v>
          </cell>
          <cell r="G121">
            <v>201.32</v>
          </cell>
        </row>
        <row r="122">
          <cell r="B122">
            <v>118</v>
          </cell>
          <cell r="C122" t="str">
            <v>222.79</v>
          </cell>
          <cell r="D122">
            <v>311.91000000000003</v>
          </cell>
          <cell r="F122" t="str">
            <v>145.03</v>
          </cell>
          <cell r="G122">
            <v>203.04</v>
          </cell>
        </row>
        <row r="123">
          <cell r="B123">
            <v>119</v>
          </cell>
          <cell r="C123" t="str">
            <v>224.69</v>
          </cell>
          <cell r="D123">
            <v>314.57</v>
          </cell>
          <cell r="F123" t="str">
            <v>146.27</v>
          </cell>
          <cell r="G123">
            <v>204.78</v>
          </cell>
        </row>
        <row r="124">
          <cell r="B124">
            <v>120</v>
          </cell>
          <cell r="C124" t="str">
            <v>226.59</v>
          </cell>
          <cell r="D124">
            <v>317.23</v>
          </cell>
          <cell r="F124" t="str">
            <v>147.46</v>
          </cell>
          <cell r="G124">
            <v>206.44</v>
          </cell>
        </row>
        <row r="125">
          <cell r="B125">
            <v>121</v>
          </cell>
          <cell r="C125" t="str">
            <v>228.36</v>
          </cell>
          <cell r="D125">
            <v>319.7</v>
          </cell>
          <cell r="F125" t="str">
            <v>148.7</v>
          </cell>
          <cell r="G125">
            <v>208.18</v>
          </cell>
        </row>
        <row r="126">
          <cell r="B126">
            <v>122</v>
          </cell>
          <cell r="C126" t="str">
            <v>230.27</v>
          </cell>
          <cell r="D126">
            <v>322.38</v>
          </cell>
          <cell r="F126" t="str">
            <v>149.94</v>
          </cell>
          <cell r="G126">
            <v>209.92</v>
          </cell>
        </row>
        <row r="127">
          <cell r="B127">
            <v>123</v>
          </cell>
          <cell r="C127" t="str">
            <v>232.19</v>
          </cell>
          <cell r="D127">
            <v>325.07</v>
          </cell>
          <cell r="F127" t="str">
            <v>151.13</v>
          </cell>
          <cell r="G127">
            <v>211.58</v>
          </cell>
        </row>
        <row r="128">
          <cell r="B128">
            <v>124</v>
          </cell>
          <cell r="C128" t="str">
            <v>234.12</v>
          </cell>
          <cell r="D128">
            <v>327.77</v>
          </cell>
          <cell r="F128" t="str">
            <v>152.38</v>
          </cell>
          <cell r="G128">
            <v>213.33</v>
          </cell>
        </row>
        <row r="129">
          <cell r="B129">
            <v>125</v>
          </cell>
          <cell r="C129" t="str">
            <v>235.89</v>
          </cell>
          <cell r="D129">
            <v>330.25</v>
          </cell>
          <cell r="F129" t="str">
            <v>153.62</v>
          </cell>
          <cell r="G129">
            <v>215.07</v>
          </cell>
        </row>
        <row r="130">
          <cell r="B130">
            <v>126</v>
          </cell>
          <cell r="C130" t="str">
            <v>237.82</v>
          </cell>
          <cell r="D130">
            <v>332.95</v>
          </cell>
          <cell r="F130" t="str">
            <v>154.82</v>
          </cell>
          <cell r="G130">
            <v>216.75</v>
          </cell>
        </row>
        <row r="131">
          <cell r="B131">
            <v>127</v>
          </cell>
          <cell r="C131" t="str">
            <v>239.76</v>
          </cell>
          <cell r="D131">
            <v>335.66</v>
          </cell>
          <cell r="F131" t="str">
            <v>156.06</v>
          </cell>
          <cell r="G131">
            <v>218.48</v>
          </cell>
        </row>
        <row r="132">
          <cell r="B132">
            <v>128</v>
          </cell>
          <cell r="C132" t="str">
            <v>241.55</v>
          </cell>
          <cell r="D132">
            <v>338.17</v>
          </cell>
          <cell r="F132" t="str">
            <v>157.31</v>
          </cell>
          <cell r="G132">
            <v>220.23</v>
          </cell>
        </row>
        <row r="133">
          <cell r="B133">
            <v>129</v>
          </cell>
          <cell r="C133" t="str">
            <v>243.49</v>
          </cell>
          <cell r="D133">
            <v>340.89</v>
          </cell>
          <cell r="F133" t="str">
            <v>158.51</v>
          </cell>
          <cell r="G133">
            <v>221.91</v>
          </cell>
        </row>
        <row r="134">
          <cell r="B134">
            <v>130</v>
          </cell>
          <cell r="C134" t="str">
            <v>245.45</v>
          </cell>
          <cell r="D134">
            <v>343.63</v>
          </cell>
          <cell r="F134" t="str">
            <v>159.76</v>
          </cell>
          <cell r="G134">
            <v>223.66</v>
          </cell>
        </row>
        <row r="135">
          <cell r="B135">
            <v>131</v>
          </cell>
          <cell r="C135" t="str">
            <v>247.24</v>
          </cell>
          <cell r="D135">
            <v>346.14</v>
          </cell>
          <cell r="F135" t="str">
            <v>160.96</v>
          </cell>
          <cell r="G135">
            <v>225.34</v>
          </cell>
        </row>
        <row r="136">
          <cell r="B136">
            <v>132</v>
          </cell>
          <cell r="C136" t="str">
            <v>249.2</v>
          </cell>
          <cell r="D136">
            <v>348.88</v>
          </cell>
          <cell r="F136" t="str">
            <v>162.16</v>
          </cell>
          <cell r="G136">
            <v>227.02</v>
          </cell>
        </row>
        <row r="137">
          <cell r="B137">
            <v>133</v>
          </cell>
          <cell r="C137" t="str">
            <v>251</v>
          </cell>
          <cell r="D137">
            <v>351.4</v>
          </cell>
          <cell r="F137" t="str">
            <v>163.42</v>
          </cell>
          <cell r="G137">
            <v>228.79</v>
          </cell>
        </row>
        <row r="138">
          <cell r="B138">
            <v>134</v>
          </cell>
          <cell r="C138" t="str">
            <v>252.97</v>
          </cell>
          <cell r="D138">
            <v>354.16</v>
          </cell>
          <cell r="F138" t="str">
            <v>164.62</v>
          </cell>
          <cell r="G138">
            <v>230.47</v>
          </cell>
        </row>
        <row r="139">
          <cell r="B139">
            <v>135</v>
          </cell>
          <cell r="C139" t="str">
            <v>254.78</v>
          </cell>
          <cell r="D139">
            <v>356.69</v>
          </cell>
          <cell r="F139" t="str">
            <v>165.88</v>
          </cell>
          <cell r="G139">
            <v>232.23</v>
          </cell>
        </row>
        <row r="140">
          <cell r="B140">
            <v>136</v>
          </cell>
          <cell r="C140" t="str">
            <v>256.58</v>
          </cell>
          <cell r="D140">
            <v>359.21</v>
          </cell>
          <cell r="F140" t="str">
            <v>167.08</v>
          </cell>
          <cell r="G140">
            <v>233.91</v>
          </cell>
        </row>
        <row r="141">
          <cell r="B141">
            <v>137</v>
          </cell>
          <cell r="C141" t="str">
            <v>258.57</v>
          </cell>
          <cell r="D141">
            <v>362</v>
          </cell>
          <cell r="F141" t="str">
            <v>168.34</v>
          </cell>
          <cell r="G141">
            <v>235.68</v>
          </cell>
        </row>
        <row r="142">
          <cell r="B142">
            <v>138</v>
          </cell>
          <cell r="C142" t="str">
            <v>260.38</v>
          </cell>
          <cell r="D142">
            <v>364.53</v>
          </cell>
          <cell r="F142" t="str">
            <v>169.55</v>
          </cell>
          <cell r="G142">
            <v>237.37</v>
          </cell>
        </row>
        <row r="143">
          <cell r="B143">
            <v>139</v>
          </cell>
          <cell r="C143" t="str">
            <v>262.38</v>
          </cell>
          <cell r="D143">
            <v>367.33</v>
          </cell>
          <cell r="F143" t="str">
            <v>170.76</v>
          </cell>
          <cell r="G143">
            <v>239.06</v>
          </cell>
        </row>
        <row r="144">
          <cell r="B144">
            <v>140</v>
          </cell>
          <cell r="C144" t="str">
            <v>264.19</v>
          </cell>
          <cell r="D144">
            <v>369.87</v>
          </cell>
          <cell r="F144" t="str">
            <v>171.97</v>
          </cell>
          <cell r="G144">
            <v>240.76</v>
          </cell>
        </row>
        <row r="145">
          <cell r="B145">
            <v>141</v>
          </cell>
          <cell r="C145" t="str">
            <v>266.01</v>
          </cell>
          <cell r="D145">
            <v>372.41</v>
          </cell>
          <cell r="F145" t="str">
            <v>173.23</v>
          </cell>
          <cell r="G145">
            <v>242.52</v>
          </cell>
        </row>
        <row r="146">
          <cell r="B146">
            <v>142</v>
          </cell>
          <cell r="C146" t="str">
            <v>268.02</v>
          </cell>
          <cell r="D146">
            <v>375.23</v>
          </cell>
          <cell r="F146" t="str">
            <v>174.44</v>
          </cell>
          <cell r="G146">
            <v>244.22</v>
          </cell>
        </row>
        <row r="147">
          <cell r="B147">
            <v>143</v>
          </cell>
          <cell r="C147" t="str">
            <v>269.85</v>
          </cell>
          <cell r="D147">
            <v>377.79</v>
          </cell>
          <cell r="F147" t="str">
            <v>175.66</v>
          </cell>
          <cell r="G147">
            <v>245.92</v>
          </cell>
        </row>
        <row r="148">
          <cell r="B148">
            <v>144</v>
          </cell>
          <cell r="C148" t="str">
            <v>271.67</v>
          </cell>
          <cell r="D148">
            <v>380.34</v>
          </cell>
          <cell r="F148" t="str">
            <v>176.93</v>
          </cell>
          <cell r="G148">
            <v>247.7</v>
          </cell>
        </row>
        <row r="149">
          <cell r="B149">
            <v>145</v>
          </cell>
          <cell r="C149" t="str">
            <v>273.71</v>
          </cell>
          <cell r="D149">
            <v>383.19</v>
          </cell>
          <cell r="F149" t="str">
            <v>178.14</v>
          </cell>
          <cell r="G149">
            <v>249.4</v>
          </cell>
        </row>
        <row r="150">
          <cell r="B150">
            <v>146</v>
          </cell>
          <cell r="C150" t="str">
            <v>275.54</v>
          </cell>
          <cell r="D150">
            <v>385.76</v>
          </cell>
          <cell r="F150" t="str">
            <v>179.35</v>
          </cell>
          <cell r="G150">
            <v>251.09</v>
          </cell>
        </row>
        <row r="151">
          <cell r="B151">
            <v>147</v>
          </cell>
          <cell r="C151" t="str">
            <v>277.37</v>
          </cell>
          <cell r="D151">
            <v>388.32</v>
          </cell>
          <cell r="F151" t="str">
            <v>180.57</v>
          </cell>
          <cell r="G151">
            <v>252.8</v>
          </cell>
        </row>
        <row r="152">
          <cell r="B152">
            <v>148</v>
          </cell>
          <cell r="C152" t="str">
            <v>279.21</v>
          </cell>
          <cell r="D152">
            <v>390.89</v>
          </cell>
          <cell r="F152" t="str">
            <v>181.78</v>
          </cell>
          <cell r="G152">
            <v>254.49</v>
          </cell>
        </row>
        <row r="153">
          <cell r="B153">
            <v>149</v>
          </cell>
          <cell r="C153" t="str">
            <v>281.05</v>
          </cell>
          <cell r="D153">
            <v>393.47</v>
          </cell>
          <cell r="F153" t="str">
            <v>183.06</v>
          </cell>
          <cell r="G153">
            <v>256.27999999999997</v>
          </cell>
        </row>
        <row r="154">
          <cell r="B154">
            <v>150</v>
          </cell>
          <cell r="C154" t="str">
            <v>283.11</v>
          </cell>
          <cell r="D154">
            <v>396.35</v>
          </cell>
          <cell r="F154" t="str">
            <v>184.28</v>
          </cell>
          <cell r="G154">
            <v>257.99</v>
          </cell>
        </row>
        <row r="155">
          <cell r="B155">
            <v>151</v>
          </cell>
          <cell r="C155" t="str">
            <v>284.95</v>
          </cell>
          <cell r="D155">
            <v>398.93</v>
          </cell>
          <cell r="F155" t="str">
            <v>185.5</v>
          </cell>
          <cell r="G155">
            <v>259.7</v>
          </cell>
        </row>
        <row r="156">
          <cell r="B156">
            <v>152</v>
          </cell>
          <cell r="C156" t="str">
            <v>286.8</v>
          </cell>
          <cell r="D156">
            <v>401.52</v>
          </cell>
          <cell r="F156" t="str">
            <v>186.71</v>
          </cell>
          <cell r="G156">
            <v>261.39</v>
          </cell>
        </row>
        <row r="157">
          <cell r="B157">
            <v>153</v>
          </cell>
          <cell r="C157" t="str">
            <v>288.65</v>
          </cell>
          <cell r="D157">
            <v>404.11</v>
          </cell>
          <cell r="F157" t="str">
            <v>187.93</v>
          </cell>
          <cell r="G157">
            <v>263.10000000000002</v>
          </cell>
        </row>
        <row r="158">
          <cell r="B158">
            <v>154</v>
          </cell>
          <cell r="C158" t="str">
            <v>290.51</v>
          </cell>
          <cell r="D158">
            <v>406.71</v>
          </cell>
          <cell r="F158" t="str">
            <v>189.15</v>
          </cell>
          <cell r="G158">
            <v>264.81</v>
          </cell>
        </row>
        <row r="159">
          <cell r="B159">
            <v>155</v>
          </cell>
          <cell r="C159" t="str">
            <v>292.36</v>
          </cell>
          <cell r="D159">
            <v>409.3</v>
          </cell>
          <cell r="F159" t="str">
            <v>190.38</v>
          </cell>
          <cell r="G159">
            <v>266.52999999999997</v>
          </cell>
        </row>
        <row r="160">
          <cell r="B160">
            <v>156</v>
          </cell>
          <cell r="C160" t="str">
            <v>294.22</v>
          </cell>
          <cell r="D160">
            <v>411.91</v>
          </cell>
          <cell r="F160" t="str">
            <v>191.6</v>
          </cell>
          <cell r="G160">
            <v>268.24</v>
          </cell>
        </row>
        <row r="161">
          <cell r="B161">
            <v>157</v>
          </cell>
          <cell r="C161" t="str">
            <v>296.08</v>
          </cell>
          <cell r="D161">
            <v>414.51</v>
          </cell>
          <cell r="F161" t="str">
            <v>192.82</v>
          </cell>
          <cell r="G161">
            <v>269.95</v>
          </cell>
        </row>
        <row r="162">
          <cell r="B162">
            <v>158</v>
          </cell>
          <cell r="C162" t="str">
            <v>298.19</v>
          </cell>
          <cell r="D162">
            <v>417.47</v>
          </cell>
          <cell r="F162" t="str">
            <v>194.04</v>
          </cell>
          <cell r="G162">
            <v>271.66000000000003</v>
          </cell>
        </row>
        <row r="163">
          <cell r="B163">
            <v>159</v>
          </cell>
          <cell r="C163" t="str">
            <v>300.06</v>
          </cell>
          <cell r="D163">
            <v>420.08</v>
          </cell>
          <cell r="F163" t="str">
            <v>195.27</v>
          </cell>
          <cell r="G163">
            <v>273.38</v>
          </cell>
        </row>
        <row r="164">
          <cell r="B164">
            <v>160</v>
          </cell>
          <cell r="C164" t="str">
            <v>301.93</v>
          </cell>
          <cell r="D164">
            <v>422.7</v>
          </cell>
          <cell r="F164" t="str">
            <v>196.49</v>
          </cell>
          <cell r="G164">
            <v>275.08999999999997</v>
          </cell>
        </row>
        <row r="165">
          <cell r="B165">
            <v>161</v>
          </cell>
          <cell r="C165" t="str">
            <v>303.81</v>
          </cell>
          <cell r="D165">
            <v>425.33</v>
          </cell>
          <cell r="F165" t="str">
            <v>197.72</v>
          </cell>
          <cell r="G165">
            <v>276.81</v>
          </cell>
        </row>
        <row r="166">
          <cell r="B166">
            <v>162</v>
          </cell>
          <cell r="C166" t="str">
            <v>305.69</v>
          </cell>
          <cell r="D166">
            <v>427.97</v>
          </cell>
          <cell r="F166" t="str">
            <v>198.94</v>
          </cell>
          <cell r="G166">
            <v>278.52</v>
          </cell>
        </row>
        <row r="167">
          <cell r="B167">
            <v>163</v>
          </cell>
          <cell r="C167" t="str">
            <v>307.57</v>
          </cell>
          <cell r="D167">
            <v>430.6</v>
          </cell>
          <cell r="F167" t="str">
            <v>200.17</v>
          </cell>
          <cell r="G167">
            <v>280.24</v>
          </cell>
        </row>
        <row r="168">
          <cell r="B168">
            <v>164</v>
          </cell>
          <cell r="C168" t="str">
            <v>309.46</v>
          </cell>
          <cell r="D168">
            <v>433.24</v>
          </cell>
          <cell r="F168" t="str">
            <v>201.4</v>
          </cell>
          <cell r="G168">
            <v>281.95999999999998</v>
          </cell>
        </row>
        <row r="169">
          <cell r="B169">
            <v>165</v>
          </cell>
          <cell r="C169" t="str">
            <v>311.35</v>
          </cell>
          <cell r="D169">
            <v>435.89</v>
          </cell>
          <cell r="F169" t="str">
            <v>202.63</v>
          </cell>
          <cell r="G169">
            <v>283.68</v>
          </cell>
        </row>
        <row r="170">
          <cell r="B170">
            <v>166</v>
          </cell>
          <cell r="C170" t="str">
            <v>313.24</v>
          </cell>
          <cell r="D170">
            <v>438.54</v>
          </cell>
          <cell r="F170" t="str">
            <v>203.86</v>
          </cell>
          <cell r="G170">
            <v>285.39999999999998</v>
          </cell>
        </row>
        <row r="171">
          <cell r="B171">
            <v>167</v>
          </cell>
          <cell r="C171" t="str">
            <v>315.13</v>
          </cell>
          <cell r="D171">
            <v>441.18</v>
          </cell>
          <cell r="F171" t="str">
            <v>205.09</v>
          </cell>
          <cell r="G171">
            <v>287.13</v>
          </cell>
        </row>
        <row r="172">
          <cell r="B172">
            <v>168</v>
          </cell>
          <cell r="C172" t="str">
            <v>317.03</v>
          </cell>
          <cell r="D172">
            <v>443.84</v>
          </cell>
          <cell r="F172" t="str">
            <v>206.32</v>
          </cell>
          <cell r="G172">
            <v>288.85000000000002</v>
          </cell>
        </row>
        <row r="173">
          <cell r="B173">
            <v>169</v>
          </cell>
          <cell r="C173" t="str">
            <v>318.65</v>
          </cell>
          <cell r="D173">
            <v>446.11</v>
          </cell>
          <cell r="F173" t="str">
            <v>207.56</v>
          </cell>
          <cell r="G173">
            <v>290.58</v>
          </cell>
        </row>
        <row r="174">
          <cell r="B174">
            <v>170</v>
          </cell>
          <cell r="C174" t="str">
            <v>320.56</v>
          </cell>
          <cell r="D174">
            <v>448.78</v>
          </cell>
          <cell r="F174" t="str">
            <v>208.79</v>
          </cell>
          <cell r="G174">
            <v>292.31</v>
          </cell>
        </row>
        <row r="175">
          <cell r="B175">
            <v>171</v>
          </cell>
          <cell r="C175" t="str">
            <v>322.46</v>
          </cell>
          <cell r="D175">
            <v>451.44</v>
          </cell>
          <cell r="F175" t="str">
            <v>210.03</v>
          </cell>
          <cell r="G175">
            <v>294.04000000000002</v>
          </cell>
        </row>
        <row r="176">
          <cell r="B176">
            <v>172</v>
          </cell>
          <cell r="C176" t="str">
            <v>324.37</v>
          </cell>
          <cell r="D176">
            <v>454.12</v>
          </cell>
          <cell r="F176" t="str">
            <v>211.26</v>
          </cell>
          <cell r="G176">
            <v>295.76</v>
          </cell>
        </row>
        <row r="177">
          <cell r="B177">
            <v>173</v>
          </cell>
          <cell r="C177" t="str">
            <v>326.28</v>
          </cell>
          <cell r="D177">
            <v>456.79</v>
          </cell>
          <cell r="F177" t="str">
            <v>212.42</v>
          </cell>
          <cell r="G177">
            <v>297.39</v>
          </cell>
        </row>
        <row r="178">
          <cell r="B178">
            <v>174</v>
          </cell>
          <cell r="C178" t="str">
            <v>328.2</v>
          </cell>
          <cell r="D178">
            <v>459.48</v>
          </cell>
          <cell r="F178" t="str">
            <v>213.66</v>
          </cell>
          <cell r="G178">
            <v>299.12</v>
          </cell>
        </row>
        <row r="179">
          <cell r="B179">
            <v>175</v>
          </cell>
          <cell r="C179" t="str">
            <v>330.12</v>
          </cell>
          <cell r="D179">
            <v>462.17</v>
          </cell>
          <cell r="F179" t="str">
            <v>214.89</v>
          </cell>
          <cell r="G179">
            <v>300.85000000000002</v>
          </cell>
        </row>
        <row r="180">
          <cell r="B180">
            <v>176</v>
          </cell>
          <cell r="C180" t="str">
            <v>332.04</v>
          </cell>
          <cell r="D180">
            <v>464.86</v>
          </cell>
          <cell r="F180" t="str">
            <v>216.13</v>
          </cell>
          <cell r="G180">
            <v>302.58</v>
          </cell>
        </row>
        <row r="181">
          <cell r="B181">
            <v>177</v>
          </cell>
          <cell r="C181" t="str">
            <v>333.97</v>
          </cell>
          <cell r="D181">
            <v>467.56</v>
          </cell>
          <cell r="F181" t="str">
            <v>217.37</v>
          </cell>
          <cell r="G181">
            <v>304.32</v>
          </cell>
        </row>
        <row r="182">
          <cell r="B182">
            <v>178</v>
          </cell>
          <cell r="C182" t="str">
            <v>335.6</v>
          </cell>
          <cell r="D182">
            <v>469.84</v>
          </cell>
          <cell r="F182" t="str">
            <v>218.62</v>
          </cell>
          <cell r="G182">
            <v>306.07</v>
          </cell>
        </row>
        <row r="183">
          <cell r="B183">
            <v>179</v>
          </cell>
          <cell r="C183" t="str">
            <v>337.53</v>
          </cell>
          <cell r="D183">
            <v>472.54</v>
          </cell>
          <cell r="F183" t="str">
            <v>219.77</v>
          </cell>
          <cell r="G183">
            <v>307.68</v>
          </cell>
        </row>
        <row r="184">
          <cell r="B184">
            <v>180</v>
          </cell>
          <cell r="C184" t="str">
            <v>339.47</v>
          </cell>
          <cell r="D184">
            <v>475.26</v>
          </cell>
          <cell r="F184" t="str">
            <v>221.01</v>
          </cell>
          <cell r="G184">
            <v>309.41000000000003</v>
          </cell>
        </row>
        <row r="185">
          <cell r="B185">
            <v>181</v>
          </cell>
          <cell r="C185" t="str">
            <v>341.41</v>
          </cell>
          <cell r="D185">
            <v>477.97</v>
          </cell>
          <cell r="F185" t="str">
            <v>222.26</v>
          </cell>
          <cell r="G185">
            <v>311.16000000000003</v>
          </cell>
        </row>
        <row r="186">
          <cell r="B186">
            <v>182</v>
          </cell>
          <cell r="C186" t="str">
            <v>343.35</v>
          </cell>
          <cell r="D186">
            <v>480.69</v>
          </cell>
          <cell r="F186" t="str">
            <v>223.5</v>
          </cell>
          <cell r="G186">
            <v>312.89999999999998</v>
          </cell>
        </row>
        <row r="187">
          <cell r="B187">
            <v>183</v>
          </cell>
          <cell r="C187" t="str">
            <v>345.3</v>
          </cell>
          <cell r="D187">
            <v>483.42</v>
          </cell>
          <cell r="F187" t="str">
            <v>224.75</v>
          </cell>
          <cell r="G187">
            <v>314.64999999999998</v>
          </cell>
        </row>
        <row r="188">
          <cell r="B188">
            <v>184</v>
          </cell>
          <cell r="C188" t="str">
            <v>346.92</v>
          </cell>
          <cell r="D188">
            <v>485.69</v>
          </cell>
          <cell r="F188" t="str">
            <v>225.91</v>
          </cell>
          <cell r="G188">
            <v>316.27</v>
          </cell>
        </row>
        <row r="189">
          <cell r="B189">
            <v>185</v>
          </cell>
          <cell r="C189" t="str">
            <v>348.88</v>
          </cell>
          <cell r="D189">
            <v>488.43</v>
          </cell>
          <cell r="F189" t="str">
            <v>227.15</v>
          </cell>
          <cell r="G189">
            <v>318.01</v>
          </cell>
        </row>
        <row r="190">
          <cell r="B190">
            <v>186</v>
          </cell>
          <cell r="C190" t="str">
            <v>350.83</v>
          </cell>
          <cell r="D190">
            <v>491.16</v>
          </cell>
          <cell r="F190" t="str">
            <v>228.4</v>
          </cell>
          <cell r="G190">
            <v>319.76</v>
          </cell>
        </row>
        <row r="191">
          <cell r="B191">
            <v>187</v>
          </cell>
          <cell r="C191" t="str">
            <v>352.8</v>
          </cell>
          <cell r="D191">
            <v>493.92</v>
          </cell>
          <cell r="F191" t="str">
            <v>229.65</v>
          </cell>
          <cell r="G191">
            <v>321.51</v>
          </cell>
        </row>
        <row r="192">
          <cell r="B192">
            <v>188</v>
          </cell>
          <cell r="C192" t="str">
            <v>354.42</v>
          </cell>
          <cell r="D192">
            <v>496.19</v>
          </cell>
          <cell r="F192" t="str">
            <v>230.81</v>
          </cell>
          <cell r="G192">
            <v>323.13</v>
          </cell>
        </row>
        <row r="193">
          <cell r="B193">
            <v>189</v>
          </cell>
          <cell r="C193" t="str">
            <v>356.39</v>
          </cell>
          <cell r="D193">
            <v>498.95</v>
          </cell>
          <cell r="F193" t="str">
            <v>232.06</v>
          </cell>
          <cell r="G193">
            <v>324.88</v>
          </cell>
        </row>
        <row r="194">
          <cell r="B194">
            <v>190</v>
          </cell>
          <cell r="C194" t="str">
            <v>358.36</v>
          </cell>
          <cell r="D194">
            <v>501.7</v>
          </cell>
          <cell r="F194" t="str">
            <v>233.31</v>
          </cell>
          <cell r="G194">
            <v>326.63</v>
          </cell>
        </row>
        <row r="195">
          <cell r="B195">
            <v>191</v>
          </cell>
          <cell r="C195" t="str">
            <v>360.34</v>
          </cell>
          <cell r="D195">
            <v>504.48</v>
          </cell>
          <cell r="F195" t="str">
            <v>234.57</v>
          </cell>
          <cell r="G195">
            <v>328.4</v>
          </cell>
        </row>
        <row r="196">
          <cell r="B196">
            <v>192</v>
          </cell>
          <cell r="C196" t="str">
            <v>361.96</v>
          </cell>
          <cell r="D196">
            <v>506.74</v>
          </cell>
          <cell r="F196" t="str">
            <v>235.72</v>
          </cell>
          <cell r="G196">
            <v>330.01</v>
          </cell>
        </row>
        <row r="197">
          <cell r="B197">
            <v>193</v>
          </cell>
          <cell r="C197" t="str">
            <v>363.94</v>
          </cell>
          <cell r="D197">
            <v>509.52</v>
          </cell>
          <cell r="F197" t="str">
            <v>236.98</v>
          </cell>
          <cell r="G197">
            <v>331.77</v>
          </cell>
        </row>
        <row r="198">
          <cell r="B198">
            <v>194</v>
          </cell>
          <cell r="C198" t="str">
            <v>365.93</v>
          </cell>
          <cell r="D198">
            <v>512.29999999999995</v>
          </cell>
          <cell r="F198" t="str">
            <v>238.24</v>
          </cell>
          <cell r="G198">
            <v>333.54</v>
          </cell>
        </row>
        <row r="199">
          <cell r="B199">
            <v>195</v>
          </cell>
          <cell r="C199" t="str">
            <v>367.92</v>
          </cell>
          <cell r="D199">
            <v>515.09</v>
          </cell>
          <cell r="F199" t="str">
            <v>239.39</v>
          </cell>
          <cell r="G199">
            <v>335.15</v>
          </cell>
        </row>
        <row r="200">
          <cell r="B200">
            <v>196</v>
          </cell>
          <cell r="C200" t="str">
            <v>369.55</v>
          </cell>
          <cell r="D200">
            <v>517.37</v>
          </cell>
          <cell r="F200" t="str">
            <v>240.65</v>
          </cell>
          <cell r="G200">
            <v>336.91</v>
          </cell>
        </row>
        <row r="201">
          <cell r="B201">
            <v>197</v>
          </cell>
          <cell r="C201" t="str">
            <v>371.55</v>
          </cell>
          <cell r="D201">
            <v>520.16999999999996</v>
          </cell>
          <cell r="F201" t="str">
            <v>241.91</v>
          </cell>
          <cell r="G201">
            <v>338.67</v>
          </cell>
        </row>
        <row r="202">
          <cell r="B202">
            <v>198</v>
          </cell>
          <cell r="C202" t="str">
            <v>373.55</v>
          </cell>
          <cell r="D202">
            <v>522.97</v>
          </cell>
          <cell r="F202" t="str">
            <v>243.07</v>
          </cell>
          <cell r="G202">
            <v>340.3</v>
          </cell>
        </row>
        <row r="203">
          <cell r="B203">
            <v>199</v>
          </cell>
          <cell r="C203" t="str">
            <v>375.17</v>
          </cell>
          <cell r="D203">
            <v>525.24</v>
          </cell>
          <cell r="F203" t="str">
            <v>244.33</v>
          </cell>
          <cell r="G203">
            <v>342.06</v>
          </cell>
        </row>
        <row r="204">
          <cell r="B204">
            <v>200</v>
          </cell>
          <cell r="C204" t="str">
            <v>377.18</v>
          </cell>
          <cell r="D204">
            <v>528.04999999999995</v>
          </cell>
          <cell r="F204" t="str">
            <v>245.59</v>
          </cell>
          <cell r="G204">
            <v>343.83</v>
          </cell>
        </row>
        <row r="205">
          <cell r="B205">
            <v>201</v>
          </cell>
          <cell r="C205">
            <v>379.07</v>
          </cell>
          <cell r="D205">
            <v>530.70000000000005</v>
          </cell>
          <cell r="F205">
            <v>246.82</v>
          </cell>
          <cell r="G205">
            <v>345.55</v>
          </cell>
        </row>
        <row r="206">
          <cell r="B206">
            <v>202</v>
          </cell>
          <cell r="C206">
            <v>380.96</v>
          </cell>
          <cell r="D206">
            <v>533.34</v>
          </cell>
          <cell r="F206">
            <v>248.04999999999998</v>
          </cell>
          <cell r="G206">
            <v>347.27</v>
          </cell>
        </row>
        <row r="207">
          <cell r="B207">
            <v>203</v>
          </cell>
          <cell r="C207">
            <v>382.84999999999997</v>
          </cell>
          <cell r="D207">
            <v>535.99</v>
          </cell>
          <cell r="F207">
            <v>249.27999999999997</v>
          </cell>
          <cell r="G207">
            <v>348.99</v>
          </cell>
        </row>
        <row r="208">
          <cell r="B208">
            <v>204</v>
          </cell>
          <cell r="C208">
            <v>384.73999999999995</v>
          </cell>
          <cell r="D208">
            <v>538.64</v>
          </cell>
          <cell r="F208">
            <v>250.50999999999996</v>
          </cell>
          <cell r="G208">
            <v>350.71</v>
          </cell>
        </row>
        <row r="209">
          <cell r="B209">
            <v>205</v>
          </cell>
          <cell r="C209">
            <v>386.62999999999994</v>
          </cell>
          <cell r="D209">
            <v>541.28</v>
          </cell>
          <cell r="F209">
            <v>251.73999999999995</v>
          </cell>
          <cell r="G209">
            <v>352.44</v>
          </cell>
        </row>
        <row r="210">
          <cell r="B210">
            <v>206</v>
          </cell>
          <cell r="C210">
            <v>388.51999999999992</v>
          </cell>
          <cell r="D210">
            <v>543.92999999999995</v>
          </cell>
          <cell r="F210">
            <v>252.96999999999994</v>
          </cell>
          <cell r="G210">
            <v>354.16</v>
          </cell>
        </row>
        <row r="211">
          <cell r="B211">
            <v>207</v>
          </cell>
          <cell r="C211">
            <v>390.40999999999991</v>
          </cell>
          <cell r="D211">
            <v>546.57000000000005</v>
          </cell>
          <cell r="F211">
            <v>254.19999999999993</v>
          </cell>
          <cell r="G211">
            <v>355.88</v>
          </cell>
        </row>
        <row r="212">
          <cell r="B212">
            <v>208</v>
          </cell>
          <cell r="C212">
            <v>392.2999999999999</v>
          </cell>
          <cell r="D212">
            <v>549.22</v>
          </cell>
          <cell r="F212">
            <v>255.42999999999992</v>
          </cell>
          <cell r="G212">
            <v>357.6</v>
          </cell>
        </row>
        <row r="213">
          <cell r="B213">
            <v>209</v>
          </cell>
          <cell r="C213">
            <v>394.18999999999988</v>
          </cell>
          <cell r="D213">
            <v>551.87</v>
          </cell>
          <cell r="F213">
            <v>256.65999999999991</v>
          </cell>
          <cell r="G213">
            <v>359.32</v>
          </cell>
        </row>
        <row r="214">
          <cell r="B214">
            <v>210</v>
          </cell>
          <cell r="C214">
            <v>396.07999999999987</v>
          </cell>
          <cell r="D214">
            <v>554.51</v>
          </cell>
          <cell r="F214">
            <v>257.88999999999993</v>
          </cell>
          <cell r="G214">
            <v>361.05</v>
          </cell>
        </row>
        <row r="215">
          <cell r="B215">
            <v>211</v>
          </cell>
          <cell r="C215">
            <v>397.96999999999986</v>
          </cell>
          <cell r="D215">
            <v>557.16</v>
          </cell>
          <cell r="F215">
            <v>259.11999999999995</v>
          </cell>
          <cell r="G215">
            <v>362.77</v>
          </cell>
        </row>
        <row r="216">
          <cell r="B216">
            <v>212</v>
          </cell>
          <cell r="C216">
            <v>399.85999999999984</v>
          </cell>
          <cell r="D216">
            <v>559.79999999999995</v>
          </cell>
          <cell r="F216">
            <v>260.34999999999997</v>
          </cell>
          <cell r="G216">
            <v>364.49</v>
          </cell>
        </row>
        <row r="217">
          <cell r="B217">
            <v>213</v>
          </cell>
          <cell r="C217">
            <v>401.74999999999983</v>
          </cell>
          <cell r="D217">
            <v>562.45000000000005</v>
          </cell>
          <cell r="F217">
            <v>261.58</v>
          </cell>
          <cell r="G217">
            <v>366.21</v>
          </cell>
        </row>
        <row r="218">
          <cell r="B218">
            <v>214</v>
          </cell>
          <cell r="C218">
            <v>403.63999999999982</v>
          </cell>
          <cell r="D218">
            <v>565.1</v>
          </cell>
          <cell r="F218">
            <v>262.81</v>
          </cell>
          <cell r="G218">
            <v>367.93</v>
          </cell>
        </row>
        <row r="219">
          <cell r="B219">
            <v>215</v>
          </cell>
          <cell r="C219">
            <v>405.5299999999998</v>
          </cell>
          <cell r="D219">
            <v>567.74</v>
          </cell>
          <cell r="F219">
            <v>264.04000000000002</v>
          </cell>
          <cell r="G219">
            <v>369.66</v>
          </cell>
        </row>
        <row r="220">
          <cell r="B220">
            <v>216</v>
          </cell>
          <cell r="C220">
            <v>407.41999999999979</v>
          </cell>
          <cell r="D220">
            <v>570.39</v>
          </cell>
          <cell r="F220">
            <v>265.27000000000004</v>
          </cell>
          <cell r="G220">
            <v>371.38</v>
          </cell>
        </row>
        <row r="221">
          <cell r="B221">
            <v>217</v>
          </cell>
          <cell r="C221">
            <v>409.30999999999977</v>
          </cell>
          <cell r="D221">
            <v>573.03</v>
          </cell>
          <cell r="F221">
            <v>266.50000000000006</v>
          </cell>
          <cell r="G221">
            <v>373.1</v>
          </cell>
        </row>
        <row r="222">
          <cell r="B222">
            <v>218</v>
          </cell>
          <cell r="C222">
            <v>411.19999999999976</v>
          </cell>
          <cell r="D222">
            <v>575.67999999999995</v>
          </cell>
          <cell r="F222">
            <v>267.73000000000008</v>
          </cell>
          <cell r="G222">
            <v>374.82</v>
          </cell>
        </row>
        <row r="223">
          <cell r="B223">
            <v>219</v>
          </cell>
          <cell r="C223">
            <v>413.08999999999975</v>
          </cell>
          <cell r="D223">
            <v>578.33000000000004</v>
          </cell>
          <cell r="F223">
            <v>268.96000000000009</v>
          </cell>
          <cell r="G223">
            <v>376.54</v>
          </cell>
        </row>
        <row r="224">
          <cell r="B224">
            <v>220</v>
          </cell>
          <cell r="C224">
            <v>414.97999999999973</v>
          </cell>
          <cell r="D224">
            <v>580.97</v>
          </cell>
          <cell r="F224">
            <v>270.19000000000011</v>
          </cell>
          <cell r="G224">
            <v>378.27</v>
          </cell>
        </row>
        <row r="225">
          <cell r="B225">
            <v>221</v>
          </cell>
          <cell r="C225">
            <v>416.86999999999972</v>
          </cell>
          <cell r="D225">
            <v>583.62</v>
          </cell>
          <cell r="F225">
            <v>271.42000000000013</v>
          </cell>
          <cell r="G225">
            <v>379.99</v>
          </cell>
        </row>
        <row r="226">
          <cell r="B226">
            <v>222</v>
          </cell>
          <cell r="C226">
            <v>418.75999999999971</v>
          </cell>
          <cell r="D226">
            <v>586.26</v>
          </cell>
          <cell r="F226">
            <v>272.65000000000015</v>
          </cell>
          <cell r="G226">
            <v>381.71</v>
          </cell>
        </row>
        <row r="227">
          <cell r="B227">
            <v>223</v>
          </cell>
          <cell r="C227">
            <v>420.64999999999969</v>
          </cell>
          <cell r="D227">
            <v>588.91</v>
          </cell>
          <cell r="F227">
            <v>273.88000000000017</v>
          </cell>
          <cell r="G227">
            <v>383.43</v>
          </cell>
        </row>
        <row r="228">
          <cell r="B228">
            <v>224</v>
          </cell>
          <cell r="C228">
            <v>422.53999999999968</v>
          </cell>
          <cell r="D228">
            <v>591.55999999999995</v>
          </cell>
          <cell r="F228">
            <v>275.11000000000018</v>
          </cell>
          <cell r="G228">
            <v>385.15</v>
          </cell>
        </row>
        <row r="229">
          <cell r="B229">
            <v>225</v>
          </cell>
          <cell r="C229">
            <v>424.42999999999967</v>
          </cell>
          <cell r="D229">
            <v>594.20000000000005</v>
          </cell>
          <cell r="F229">
            <v>276.3400000000002</v>
          </cell>
          <cell r="G229">
            <v>386.88</v>
          </cell>
        </row>
        <row r="230">
          <cell r="B230">
            <v>226</v>
          </cell>
          <cell r="C230">
            <v>426.31999999999965</v>
          </cell>
          <cell r="D230">
            <v>596.85</v>
          </cell>
          <cell r="F230">
            <v>277.57000000000022</v>
          </cell>
          <cell r="G230">
            <v>388.6</v>
          </cell>
        </row>
        <row r="231">
          <cell r="B231">
            <v>227</v>
          </cell>
          <cell r="C231">
            <v>428.20999999999964</v>
          </cell>
          <cell r="D231">
            <v>599.49</v>
          </cell>
          <cell r="F231">
            <v>278.80000000000024</v>
          </cell>
          <cell r="G231">
            <v>390.32</v>
          </cell>
        </row>
        <row r="232">
          <cell r="B232">
            <v>228</v>
          </cell>
          <cell r="C232">
            <v>430.09999999999962</v>
          </cell>
          <cell r="D232">
            <v>602.14</v>
          </cell>
          <cell r="F232">
            <v>280.03000000000026</v>
          </cell>
          <cell r="G232">
            <v>392.04</v>
          </cell>
        </row>
        <row r="233">
          <cell r="B233">
            <v>229</v>
          </cell>
          <cell r="C233">
            <v>431.98999999999961</v>
          </cell>
          <cell r="D233">
            <v>604.79</v>
          </cell>
          <cell r="F233">
            <v>281.26000000000028</v>
          </cell>
          <cell r="G233">
            <v>393.76</v>
          </cell>
        </row>
        <row r="234">
          <cell r="B234">
            <v>230</v>
          </cell>
          <cell r="C234">
            <v>433.8799999999996</v>
          </cell>
          <cell r="D234">
            <v>607.42999999999995</v>
          </cell>
          <cell r="F234">
            <v>282.49000000000029</v>
          </cell>
          <cell r="G234">
            <v>395.49</v>
          </cell>
        </row>
        <row r="235">
          <cell r="B235">
            <v>231</v>
          </cell>
          <cell r="C235">
            <v>435.76999999999958</v>
          </cell>
          <cell r="D235">
            <v>610.08000000000004</v>
          </cell>
          <cell r="F235">
            <v>283.72000000000031</v>
          </cell>
          <cell r="G235">
            <v>397.21</v>
          </cell>
        </row>
        <row r="236">
          <cell r="B236">
            <v>232</v>
          </cell>
          <cell r="C236">
            <v>437.65999999999957</v>
          </cell>
          <cell r="D236">
            <v>612.72</v>
          </cell>
          <cell r="F236">
            <v>284.95000000000033</v>
          </cell>
          <cell r="G236">
            <v>398.93</v>
          </cell>
        </row>
        <row r="237">
          <cell r="B237">
            <v>233</v>
          </cell>
          <cell r="C237">
            <v>439.54999999999956</v>
          </cell>
          <cell r="D237">
            <v>615.37</v>
          </cell>
          <cell r="F237">
            <v>286.18000000000035</v>
          </cell>
          <cell r="G237">
            <v>400.65</v>
          </cell>
        </row>
        <row r="238">
          <cell r="B238">
            <v>234</v>
          </cell>
          <cell r="C238">
            <v>441.43999999999954</v>
          </cell>
          <cell r="D238">
            <v>618.02</v>
          </cell>
          <cell r="F238">
            <v>287.41000000000037</v>
          </cell>
          <cell r="G238">
            <v>402.37</v>
          </cell>
        </row>
        <row r="239">
          <cell r="B239">
            <v>235</v>
          </cell>
          <cell r="C239">
            <v>443.32999999999953</v>
          </cell>
          <cell r="D239">
            <v>620.66</v>
          </cell>
          <cell r="F239">
            <v>288.64000000000038</v>
          </cell>
          <cell r="G239">
            <v>404.1</v>
          </cell>
        </row>
        <row r="240">
          <cell r="B240">
            <v>236</v>
          </cell>
          <cell r="C240">
            <v>445.21999999999952</v>
          </cell>
          <cell r="D240">
            <v>623.30999999999995</v>
          </cell>
          <cell r="F240">
            <v>289.8700000000004</v>
          </cell>
          <cell r="G240">
            <v>405.82</v>
          </cell>
        </row>
        <row r="241">
          <cell r="B241">
            <v>237</v>
          </cell>
          <cell r="C241">
            <v>447.1099999999995</v>
          </cell>
          <cell r="D241">
            <v>625.95000000000005</v>
          </cell>
          <cell r="F241">
            <v>291.10000000000042</v>
          </cell>
          <cell r="G241">
            <v>407.54</v>
          </cell>
        </row>
        <row r="242">
          <cell r="B242">
            <v>238</v>
          </cell>
          <cell r="C242">
            <v>448.99999999999949</v>
          </cell>
          <cell r="D242">
            <v>628.6</v>
          </cell>
          <cell r="F242">
            <v>292.33000000000044</v>
          </cell>
          <cell r="G242">
            <v>409.26</v>
          </cell>
        </row>
        <row r="243">
          <cell r="B243">
            <v>239</v>
          </cell>
          <cell r="C243">
            <v>450.88999999999947</v>
          </cell>
          <cell r="D243">
            <v>631.25</v>
          </cell>
          <cell r="F243">
            <v>293.56000000000046</v>
          </cell>
          <cell r="G243">
            <v>410.98</v>
          </cell>
        </row>
        <row r="244">
          <cell r="B244">
            <v>240</v>
          </cell>
          <cell r="C244">
            <v>452.77999999999946</v>
          </cell>
          <cell r="D244">
            <v>633.89</v>
          </cell>
          <cell r="F244">
            <v>294.79000000000048</v>
          </cell>
          <cell r="G244">
            <v>412.71</v>
          </cell>
        </row>
        <row r="245">
          <cell r="B245">
            <v>241</v>
          </cell>
          <cell r="C245">
            <v>454.66999999999945</v>
          </cell>
          <cell r="D245">
            <v>636.54</v>
          </cell>
          <cell r="F245">
            <v>296.02000000000049</v>
          </cell>
          <cell r="G245">
            <v>414.43</v>
          </cell>
        </row>
        <row r="246">
          <cell r="B246">
            <v>242</v>
          </cell>
          <cell r="C246">
            <v>456.55999999999943</v>
          </cell>
          <cell r="D246">
            <v>639.17999999999995</v>
          </cell>
          <cell r="F246">
            <v>297.25000000000051</v>
          </cell>
          <cell r="G246">
            <v>416.15</v>
          </cell>
        </row>
        <row r="247">
          <cell r="B247">
            <v>243</v>
          </cell>
          <cell r="C247">
            <v>458.44999999999942</v>
          </cell>
          <cell r="D247">
            <v>641.83000000000004</v>
          </cell>
          <cell r="F247">
            <v>298.48000000000053</v>
          </cell>
          <cell r="G247">
            <v>417.87</v>
          </cell>
        </row>
        <row r="248">
          <cell r="B248">
            <v>244</v>
          </cell>
          <cell r="C248">
            <v>460.33999999999941</v>
          </cell>
          <cell r="D248">
            <v>644.48</v>
          </cell>
          <cell r="F248">
            <v>299.71000000000055</v>
          </cell>
          <cell r="G248">
            <v>419.59</v>
          </cell>
        </row>
        <row r="249">
          <cell r="B249">
            <v>245</v>
          </cell>
          <cell r="C249">
            <v>462.22999999999939</v>
          </cell>
          <cell r="D249">
            <v>647.12</v>
          </cell>
          <cell r="F249">
            <v>300.94000000000057</v>
          </cell>
          <cell r="G249">
            <v>421.32</v>
          </cell>
        </row>
        <row r="250">
          <cell r="B250">
            <v>246</v>
          </cell>
          <cell r="C250">
            <v>464.11999999999938</v>
          </cell>
          <cell r="D250">
            <v>649.77</v>
          </cell>
          <cell r="F250">
            <v>302.17000000000058</v>
          </cell>
          <cell r="G250">
            <v>423.04</v>
          </cell>
        </row>
        <row r="251">
          <cell r="B251">
            <v>247</v>
          </cell>
          <cell r="C251">
            <v>466.00999999999937</v>
          </cell>
          <cell r="D251">
            <v>652.41</v>
          </cell>
          <cell r="F251">
            <v>303.4000000000006</v>
          </cell>
          <cell r="G251">
            <v>424.76</v>
          </cell>
        </row>
        <row r="252">
          <cell r="B252">
            <v>248</v>
          </cell>
          <cell r="C252">
            <v>467.89999999999935</v>
          </cell>
          <cell r="D252">
            <v>655.05999999999995</v>
          </cell>
          <cell r="F252">
            <v>304.63000000000062</v>
          </cell>
          <cell r="G252">
            <v>426.48</v>
          </cell>
        </row>
        <row r="253">
          <cell r="B253">
            <v>249</v>
          </cell>
          <cell r="C253">
            <v>469.78999999999934</v>
          </cell>
          <cell r="D253">
            <v>657.71</v>
          </cell>
          <cell r="F253">
            <v>305.86000000000064</v>
          </cell>
          <cell r="G253">
            <v>428.2</v>
          </cell>
        </row>
        <row r="254">
          <cell r="B254">
            <v>250</v>
          </cell>
          <cell r="C254">
            <v>471.67999999999932</v>
          </cell>
          <cell r="D254">
            <v>660.35</v>
          </cell>
          <cell r="F254">
            <v>307.09000000000066</v>
          </cell>
          <cell r="G254">
            <v>429.93</v>
          </cell>
        </row>
        <row r="255">
          <cell r="B255">
            <v>251</v>
          </cell>
          <cell r="C255">
            <v>473.56999999999931</v>
          </cell>
          <cell r="D255">
            <v>663</v>
          </cell>
          <cell r="F255">
            <v>308.32000000000068</v>
          </cell>
          <cell r="G255">
            <v>431.65</v>
          </cell>
        </row>
        <row r="256">
          <cell r="B256">
            <v>252</v>
          </cell>
          <cell r="C256">
            <v>475.4599999999993</v>
          </cell>
          <cell r="D256">
            <v>665.64</v>
          </cell>
          <cell r="F256">
            <v>309.55000000000069</v>
          </cell>
          <cell r="G256">
            <v>433.37</v>
          </cell>
        </row>
        <row r="257">
          <cell r="B257">
            <v>253</v>
          </cell>
          <cell r="C257">
            <v>477.34999999999928</v>
          </cell>
          <cell r="D257">
            <v>668.29</v>
          </cell>
          <cell r="F257">
            <v>310.78000000000071</v>
          </cell>
          <cell r="G257">
            <v>435.09</v>
          </cell>
        </row>
        <row r="258">
          <cell r="B258">
            <v>254</v>
          </cell>
          <cell r="C258">
            <v>479.23999999999927</v>
          </cell>
          <cell r="D258">
            <v>670.94</v>
          </cell>
          <cell r="F258">
            <v>312.01000000000073</v>
          </cell>
          <cell r="G258">
            <v>436.81</v>
          </cell>
        </row>
        <row r="259">
          <cell r="B259">
            <v>255</v>
          </cell>
          <cell r="C259">
            <v>481.12999999999926</v>
          </cell>
          <cell r="D259">
            <v>673.58</v>
          </cell>
          <cell r="F259">
            <v>313.24000000000075</v>
          </cell>
          <cell r="G259">
            <v>438.54</v>
          </cell>
        </row>
        <row r="260">
          <cell r="B260">
            <v>256</v>
          </cell>
          <cell r="C260">
            <v>483.01999999999924</v>
          </cell>
          <cell r="D260">
            <v>676.23</v>
          </cell>
          <cell r="F260">
            <v>314.47000000000077</v>
          </cell>
          <cell r="G260">
            <v>440.26</v>
          </cell>
        </row>
        <row r="261">
          <cell r="B261">
            <v>257</v>
          </cell>
          <cell r="C261">
            <v>484.90999999999923</v>
          </cell>
          <cell r="D261">
            <v>678.87</v>
          </cell>
          <cell r="F261">
            <v>315.70000000000078</v>
          </cell>
          <cell r="G261">
            <v>441.98</v>
          </cell>
        </row>
        <row r="262">
          <cell r="B262">
            <v>258</v>
          </cell>
          <cell r="C262">
            <v>486.79999999999922</v>
          </cell>
          <cell r="D262">
            <v>681.52</v>
          </cell>
          <cell r="F262">
            <v>316.9300000000008</v>
          </cell>
          <cell r="G262">
            <v>443.7</v>
          </cell>
        </row>
        <row r="263">
          <cell r="B263">
            <v>259</v>
          </cell>
          <cell r="C263">
            <v>488.6899999999992</v>
          </cell>
          <cell r="D263">
            <v>684.17</v>
          </cell>
          <cell r="F263">
            <v>318.16000000000082</v>
          </cell>
          <cell r="G263">
            <v>445.42</v>
          </cell>
        </row>
        <row r="264">
          <cell r="B264">
            <v>260</v>
          </cell>
          <cell r="C264">
            <v>490.57999999999919</v>
          </cell>
          <cell r="D264">
            <v>686.81</v>
          </cell>
          <cell r="F264">
            <v>319.39000000000084</v>
          </cell>
          <cell r="G264">
            <v>447.15</v>
          </cell>
        </row>
        <row r="265">
          <cell r="B265">
            <v>261</v>
          </cell>
          <cell r="C265">
            <v>492.46999999999917</v>
          </cell>
          <cell r="D265">
            <v>689.46</v>
          </cell>
          <cell r="F265">
            <v>320.62000000000086</v>
          </cell>
          <cell r="G265">
            <v>448.87</v>
          </cell>
        </row>
        <row r="266">
          <cell r="B266">
            <v>262</v>
          </cell>
          <cell r="C266">
            <v>494.35999999999916</v>
          </cell>
          <cell r="D266">
            <v>692.1</v>
          </cell>
          <cell r="F266">
            <v>321.85000000000088</v>
          </cell>
          <cell r="G266">
            <v>450.59</v>
          </cell>
        </row>
        <row r="267">
          <cell r="B267">
            <v>263</v>
          </cell>
          <cell r="C267">
            <v>496.24999999999915</v>
          </cell>
          <cell r="D267">
            <v>694.75</v>
          </cell>
          <cell r="F267">
            <v>323.08000000000089</v>
          </cell>
          <cell r="G267">
            <v>452.31</v>
          </cell>
        </row>
        <row r="268">
          <cell r="B268">
            <v>264</v>
          </cell>
          <cell r="C268">
            <v>498.13999999999913</v>
          </cell>
          <cell r="D268">
            <v>697.4</v>
          </cell>
          <cell r="F268">
            <v>324.31000000000091</v>
          </cell>
          <cell r="G268">
            <v>454.03</v>
          </cell>
        </row>
        <row r="269">
          <cell r="B269">
            <v>265</v>
          </cell>
          <cell r="C269">
            <v>500.02999999999912</v>
          </cell>
          <cell r="D269">
            <v>700.04</v>
          </cell>
          <cell r="F269">
            <v>325.54000000000093</v>
          </cell>
          <cell r="G269">
            <v>455.76</v>
          </cell>
        </row>
        <row r="270">
          <cell r="B270">
            <v>266</v>
          </cell>
          <cell r="C270">
            <v>501.91999999999911</v>
          </cell>
          <cell r="D270">
            <v>702.69</v>
          </cell>
          <cell r="F270">
            <v>326.77000000000095</v>
          </cell>
          <cell r="G270">
            <v>457.48</v>
          </cell>
        </row>
        <row r="271">
          <cell r="B271">
            <v>267</v>
          </cell>
          <cell r="C271">
            <v>503.80999999999909</v>
          </cell>
          <cell r="D271">
            <v>705.33</v>
          </cell>
          <cell r="F271">
            <v>328.00000000000097</v>
          </cell>
          <cell r="G271">
            <v>459.2</v>
          </cell>
        </row>
        <row r="272">
          <cell r="B272">
            <v>268</v>
          </cell>
          <cell r="C272">
            <v>505.69999999999908</v>
          </cell>
          <cell r="D272">
            <v>707.98</v>
          </cell>
          <cell r="F272">
            <v>329.23000000000098</v>
          </cell>
          <cell r="G272">
            <v>460.92</v>
          </cell>
        </row>
        <row r="273">
          <cell r="B273">
            <v>269</v>
          </cell>
          <cell r="C273">
            <v>507.58999999999907</v>
          </cell>
          <cell r="D273">
            <v>710.63</v>
          </cell>
          <cell r="F273">
            <v>330.460000000001</v>
          </cell>
          <cell r="G273">
            <v>462.64</v>
          </cell>
        </row>
        <row r="274">
          <cell r="B274">
            <v>270</v>
          </cell>
          <cell r="C274">
            <v>509.47999999999905</v>
          </cell>
          <cell r="D274">
            <v>713.27</v>
          </cell>
          <cell r="F274">
            <v>331.69000000000102</v>
          </cell>
          <cell r="G274">
            <v>464.37</v>
          </cell>
        </row>
        <row r="275">
          <cell r="B275">
            <v>271</v>
          </cell>
          <cell r="C275">
            <v>511.36999999999904</v>
          </cell>
          <cell r="D275">
            <v>715.92</v>
          </cell>
          <cell r="F275">
            <v>332.92000000000104</v>
          </cell>
          <cell r="G275">
            <v>466.09</v>
          </cell>
        </row>
        <row r="276">
          <cell r="B276">
            <v>272</v>
          </cell>
          <cell r="C276">
            <v>513.25999999999908</v>
          </cell>
          <cell r="D276">
            <v>718.56</v>
          </cell>
          <cell r="F276">
            <v>334.15000000000106</v>
          </cell>
          <cell r="G276">
            <v>467.81</v>
          </cell>
        </row>
        <row r="277">
          <cell r="B277">
            <v>273</v>
          </cell>
          <cell r="C277">
            <v>515.14999999999907</v>
          </cell>
          <cell r="D277">
            <v>721.21</v>
          </cell>
          <cell r="F277">
            <v>335.38000000000108</v>
          </cell>
          <cell r="G277">
            <v>469.53</v>
          </cell>
        </row>
        <row r="278">
          <cell r="B278">
            <v>274</v>
          </cell>
          <cell r="C278">
            <v>517.03999999999905</v>
          </cell>
          <cell r="D278">
            <v>723.86</v>
          </cell>
          <cell r="F278">
            <v>336.61000000000109</v>
          </cell>
          <cell r="G278">
            <v>471.25</v>
          </cell>
        </row>
        <row r="279">
          <cell r="B279">
            <v>275</v>
          </cell>
          <cell r="C279">
            <v>518.92999999999904</v>
          </cell>
          <cell r="D279">
            <v>726.5</v>
          </cell>
          <cell r="F279">
            <v>337.84000000000111</v>
          </cell>
          <cell r="G279">
            <v>472.98</v>
          </cell>
        </row>
        <row r="280">
          <cell r="B280">
            <v>276</v>
          </cell>
          <cell r="C280">
            <v>520.81999999999903</v>
          </cell>
          <cell r="D280">
            <v>729.15</v>
          </cell>
          <cell r="F280">
            <v>339.07000000000113</v>
          </cell>
          <cell r="G280">
            <v>474.7</v>
          </cell>
        </row>
        <row r="281">
          <cell r="B281">
            <v>277</v>
          </cell>
          <cell r="C281">
            <v>522.70999999999901</v>
          </cell>
          <cell r="D281">
            <v>731.79</v>
          </cell>
          <cell r="F281">
            <v>340.30000000000115</v>
          </cell>
          <cell r="G281">
            <v>476.42</v>
          </cell>
        </row>
        <row r="282">
          <cell r="B282">
            <v>278</v>
          </cell>
          <cell r="C282">
            <v>524.599999999999</v>
          </cell>
          <cell r="D282">
            <v>734.44</v>
          </cell>
          <cell r="F282">
            <v>341.53000000000117</v>
          </cell>
          <cell r="G282">
            <v>478.14</v>
          </cell>
        </row>
        <row r="283">
          <cell r="B283">
            <v>279</v>
          </cell>
          <cell r="C283">
            <v>526.48999999999899</v>
          </cell>
          <cell r="D283">
            <v>737.09</v>
          </cell>
          <cell r="F283">
            <v>342.76000000000118</v>
          </cell>
          <cell r="G283">
            <v>479.86</v>
          </cell>
        </row>
        <row r="284">
          <cell r="B284">
            <v>280</v>
          </cell>
          <cell r="C284">
            <v>528.37999999999897</v>
          </cell>
          <cell r="D284">
            <v>739.73</v>
          </cell>
          <cell r="F284">
            <v>343.9900000000012</v>
          </cell>
          <cell r="G284">
            <v>481.59</v>
          </cell>
        </row>
        <row r="285">
          <cell r="B285">
            <v>281</v>
          </cell>
          <cell r="C285">
            <v>530.26999999999896</v>
          </cell>
          <cell r="D285">
            <v>742.38</v>
          </cell>
          <cell r="F285">
            <v>345.22000000000122</v>
          </cell>
          <cell r="G285">
            <v>483.31</v>
          </cell>
        </row>
        <row r="286">
          <cell r="B286">
            <v>282</v>
          </cell>
          <cell r="C286">
            <v>532.15999999999894</v>
          </cell>
          <cell r="D286">
            <v>745.02</v>
          </cell>
          <cell r="F286">
            <v>346.45000000000124</v>
          </cell>
          <cell r="G286">
            <v>485.03</v>
          </cell>
        </row>
        <row r="287">
          <cell r="B287">
            <v>283</v>
          </cell>
          <cell r="C287">
            <v>534.04999999999893</v>
          </cell>
          <cell r="D287">
            <v>747.67</v>
          </cell>
          <cell r="F287">
            <v>347.68000000000126</v>
          </cell>
          <cell r="G287">
            <v>486.75</v>
          </cell>
        </row>
        <row r="288">
          <cell r="B288">
            <v>284</v>
          </cell>
          <cell r="C288">
            <v>535.93999999999892</v>
          </cell>
          <cell r="D288">
            <v>750.32</v>
          </cell>
          <cell r="F288">
            <v>348.91000000000128</v>
          </cell>
          <cell r="G288">
            <v>488.47</v>
          </cell>
        </row>
        <row r="289">
          <cell r="B289">
            <v>285</v>
          </cell>
          <cell r="C289">
            <v>537.8299999999989</v>
          </cell>
          <cell r="D289">
            <v>752.96</v>
          </cell>
          <cell r="F289">
            <v>350.14000000000129</v>
          </cell>
          <cell r="G289">
            <v>490.2</v>
          </cell>
        </row>
        <row r="290">
          <cell r="B290">
            <v>286</v>
          </cell>
          <cell r="C290">
            <v>539.71999999999889</v>
          </cell>
          <cell r="D290">
            <v>755.61</v>
          </cell>
          <cell r="F290">
            <v>351.37000000000131</v>
          </cell>
          <cell r="G290">
            <v>491.92</v>
          </cell>
        </row>
        <row r="291">
          <cell r="B291">
            <v>287</v>
          </cell>
          <cell r="C291">
            <v>541.60999999999888</v>
          </cell>
          <cell r="D291">
            <v>758.25</v>
          </cell>
          <cell r="F291">
            <v>352.60000000000133</v>
          </cell>
          <cell r="G291">
            <v>493.64</v>
          </cell>
        </row>
        <row r="292">
          <cell r="B292">
            <v>288</v>
          </cell>
          <cell r="C292">
            <v>543.49999999999886</v>
          </cell>
          <cell r="D292">
            <v>760.9</v>
          </cell>
          <cell r="F292">
            <v>353.83000000000135</v>
          </cell>
          <cell r="G292">
            <v>495.36</v>
          </cell>
        </row>
        <row r="293">
          <cell r="B293">
            <v>289</v>
          </cell>
          <cell r="C293">
            <v>545.38999999999885</v>
          </cell>
          <cell r="D293">
            <v>763.55</v>
          </cell>
          <cell r="F293">
            <v>355.06000000000137</v>
          </cell>
          <cell r="G293">
            <v>497.08</v>
          </cell>
        </row>
        <row r="294">
          <cell r="B294">
            <v>290</v>
          </cell>
          <cell r="C294">
            <v>547.27999999999884</v>
          </cell>
          <cell r="D294">
            <v>766.19</v>
          </cell>
          <cell r="F294">
            <v>356.29000000000138</v>
          </cell>
          <cell r="G294">
            <v>498.81</v>
          </cell>
        </row>
        <row r="295">
          <cell r="B295">
            <v>291</v>
          </cell>
          <cell r="C295">
            <v>549.16999999999882</v>
          </cell>
          <cell r="D295">
            <v>768.84</v>
          </cell>
          <cell r="F295">
            <v>357.5200000000014</v>
          </cell>
          <cell r="G295">
            <v>500.53</v>
          </cell>
        </row>
        <row r="296">
          <cell r="B296">
            <v>292</v>
          </cell>
          <cell r="C296">
            <v>551.05999999999881</v>
          </cell>
          <cell r="D296">
            <v>771.48</v>
          </cell>
          <cell r="F296">
            <v>358.75000000000142</v>
          </cell>
          <cell r="G296">
            <v>502.25</v>
          </cell>
        </row>
        <row r="297">
          <cell r="B297">
            <v>293</v>
          </cell>
          <cell r="C297">
            <v>552.94999999999879</v>
          </cell>
          <cell r="D297">
            <v>774.13</v>
          </cell>
          <cell r="F297">
            <v>359.98000000000144</v>
          </cell>
          <cell r="G297">
            <v>503.97</v>
          </cell>
        </row>
        <row r="298">
          <cell r="B298">
            <v>294</v>
          </cell>
          <cell r="C298">
            <v>554.83999999999878</v>
          </cell>
          <cell r="D298">
            <v>776.78</v>
          </cell>
          <cell r="F298">
            <v>361.21000000000146</v>
          </cell>
          <cell r="G298">
            <v>505.69</v>
          </cell>
        </row>
        <row r="299">
          <cell r="B299">
            <v>295</v>
          </cell>
          <cell r="C299">
            <v>556.72999999999877</v>
          </cell>
          <cell r="D299">
            <v>779.42</v>
          </cell>
          <cell r="F299">
            <v>362.44000000000148</v>
          </cell>
          <cell r="G299">
            <v>507.42</v>
          </cell>
        </row>
        <row r="300">
          <cell r="B300">
            <v>296</v>
          </cell>
          <cell r="C300">
            <v>558.61999999999875</v>
          </cell>
          <cell r="D300">
            <v>782.07</v>
          </cell>
          <cell r="F300">
            <v>363.67000000000149</v>
          </cell>
          <cell r="G300">
            <v>509.14</v>
          </cell>
        </row>
        <row r="301">
          <cell r="B301">
            <v>297</v>
          </cell>
          <cell r="C301">
            <v>560.50999999999874</v>
          </cell>
          <cell r="D301">
            <v>784.71</v>
          </cell>
          <cell r="F301">
            <v>364.90000000000151</v>
          </cell>
          <cell r="G301">
            <v>510.86</v>
          </cell>
        </row>
        <row r="302">
          <cell r="B302">
            <v>298</v>
          </cell>
          <cell r="C302">
            <v>562.39999999999873</v>
          </cell>
          <cell r="D302">
            <v>787.36</v>
          </cell>
          <cell r="F302">
            <v>366.13000000000153</v>
          </cell>
          <cell r="G302">
            <v>512.58000000000004</v>
          </cell>
        </row>
        <row r="303">
          <cell r="B303">
            <v>299</v>
          </cell>
          <cell r="C303">
            <v>564.28999999999871</v>
          </cell>
          <cell r="D303">
            <v>790.01</v>
          </cell>
          <cell r="F303">
            <v>367.36000000000155</v>
          </cell>
          <cell r="G303">
            <v>514.29999999999995</v>
          </cell>
        </row>
        <row r="304">
          <cell r="B304">
            <v>300</v>
          </cell>
          <cell r="C304">
            <v>566.1799999999987</v>
          </cell>
          <cell r="D304">
            <v>792.65</v>
          </cell>
          <cell r="F304">
            <v>368.59000000000157</v>
          </cell>
          <cell r="G304">
            <v>516.03</v>
          </cell>
        </row>
        <row r="305">
          <cell r="B305">
            <v>301</v>
          </cell>
          <cell r="C305">
            <v>568.06999999999869</v>
          </cell>
          <cell r="D305">
            <v>795.3</v>
          </cell>
          <cell r="F305">
            <v>369.82000000000158</v>
          </cell>
          <cell r="G305">
            <v>517.75</v>
          </cell>
        </row>
        <row r="306">
          <cell r="B306">
            <v>302</v>
          </cell>
          <cell r="C306">
            <v>569.95999999999867</v>
          </cell>
          <cell r="D306">
            <v>797.94</v>
          </cell>
          <cell r="F306">
            <v>371.0500000000016</v>
          </cell>
          <cell r="G306">
            <v>519.47</v>
          </cell>
        </row>
        <row r="307">
          <cell r="B307">
            <v>303</v>
          </cell>
          <cell r="C307">
            <v>571.84999999999866</v>
          </cell>
          <cell r="D307">
            <v>800.59</v>
          </cell>
          <cell r="F307">
            <v>372.28000000000162</v>
          </cell>
          <cell r="G307">
            <v>521.19000000000005</v>
          </cell>
        </row>
        <row r="308">
          <cell r="B308">
            <v>304</v>
          </cell>
          <cell r="C308">
            <v>573.73999999999864</v>
          </cell>
          <cell r="D308">
            <v>803.24</v>
          </cell>
          <cell r="F308">
            <v>373.51000000000164</v>
          </cell>
          <cell r="G308">
            <v>522.91</v>
          </cell>
        </row>
        <row r="309">
          <cell r="B309">
            <v>305</v>
          </cell>
          <cell r="C309">
            <v>575.62999999999863</v>
          </cell>
          <cell r="D309">
            <v>805.88</v>
          </cell>
          <cell r="F309">
            <v>374.74000000000166</v>
          </cell>
          <cell r="G309">
            <v>524.64</v>
          </cell>
        </row>
        <row r="310">
          <cell r="B310">
            <v>306</v>
          </cell>
          <cell r="C310">
            <v>577.51999999999862</v>
          </cell>
          <cell r="D310">
            <v>808.53</v>
          </cell>
          <cell r="F310">
            <v>375.97000000000168</v>
          </cell>
          <cell r="G310">
            <v>526.36</v>
          </cell>
        </row>
        <row r="311">
          <cell r="B311">
            <v>307</v>
          </cell>
          <cell r="C311">
            <v>579.4099999999986</v>
          </cell>
          <cell r="D311">
            <v>811.17</v>
          </cell>
          <cell r="F311">
            <v>377.20000000000169</v>
          </cell>
          <cell r="G311">
            <v>528.08000000000004</v>
          </cell>
        </row>
        <row r="312">
          <cell r="B312">
            <v>308</v>
          </cell>
          <cell r="C312">
            <v>581.29999999999859</v>
          </cell>
          <cell r="D312">
            <v>813.82</v>
          </cell>
          <cell r="F312">
            <v>378.43000000000171</v>
          </cell>
          <cell r="G312">
            <v>529.79999999999995</v>
          </cell>
        </row>
        <row r="313">
          <cell r="B313">
            <v>309</v>
          </cell>
          <cell r="C313">
            <v>583.18999999999858</v>
          </cell>
          <cell r="D313">
            <v>816.47</v>
          </cell>
          <cell r="F313">
            <v>379.66000000000173</v>
          </cell>
          <cell r="G313">
            <v>531.52</v>
          </cell>
        </row>
        <row r="314">
          <cell r="B314">
            <v>310</v>
          </cell>
          <cell r="C314">
            <v>585.07999999999856</v>
          </cell>
          <cell r="D314">
            <v>819.11</v>
          </cell>
          <cell r="F314">
            <v>380.89000000000175</v>
          </cell>
          <cell r="G314">
            <v>533.25</v>
          </cell>
        </row>
        <row r="315">
          <cell r="B315">
            <v>311</v>
          </cell>
          <cell r="C315">
            <v>586.96999999999855</v>
          </cell>
          <cell r="D315">
            <v>821.76</v>
          </cell>
          <cell r="F315">
            <v>382.12000000000177</v>
          </cell>
          <cell r="G315">
            <v>534.97</v>
          </cell>
        </row>
        <row r="316">
          <cell r="B316">
            <v>312</v>
          </cell>
          <cell r="C316">
            <v>588.85999999999854</v>
          </cell>
          <cell r="D316">
            <v>824.4</v>
          </cell>
          <cell r="F316">
            <v>383.35000000000178</v>
          </cell>
          <cell r="G316">
            <v>536.69000000000005</v>
          </cell>
        </row>
        <row r="317">
          <cell r="B317">
            <v>313</v>
          </cell>
          <cell r="C317">
            <v>590.74999999999852</v>
          </cell>
          <cell r="D317">
            <v>827.05</v>
          </cell>
          <cell r="F317">
            <v>384.5800000000018</v>
          </cell>
          <cell r="G317">
            <v>538.41</v>
          </cell>
        </row>
        <row r="318">
          <cell r="B318">
            <v>314</v>
          </cell>
          <cell r="C318">
            <v>592.63999999999851</v>
          </cell>
          <cell r="D318">
            <v>829.7</v>
          </cell>
          <cell r="F318">
            <v>385.81000000000182</v>
          </cell>
          <cell r="G318">
            <v>540.13</v>
          </cell>
        </row>
        <row r="319">
          <cell r="B319">
            <v>315</v>
          </cell>
          <cell r="C319">
            <v>594.52999999999849</v>
          </cell>
          <cell r="D319">
            <v>832.34</v>
          </cell>
          <cell r="F319">
            <v>387.04000000000184</v>
          </cell>
          <cell r="G319">
            <v>541.86</v>
          </cell>
        </row>
        <row r="320">
          <cell r="B320">
            <v>316</v>
          </cell>
          <cell r="C320">
            <v>596.41999999999848</v>
          </cell>
          <cell r="D320">
            <v>834.99</v>
          </cell>
          <cell r="F320">
            <v>388.27000000000186</v>
          </cell>
          <cell r="G320">
            <v>543.58000000000004</v>
          </cell>
        </row>
        <row r="321">
          <cell r="B321">
            <v>317</v>
          </cell>
          <cell r="C321">
            <v>598.30999999999847</v>
          </cell>
          <cell r="D321">
            <v>837.63</v>
          </cell>
          <cell r="F321">
            <v>389.50000000000188</v>
          </cell>
          <cell r="G321">
            <v>545.29999999999995</v>
          </cell>
        </row>
        <row r="322">
          <cell r="B322">
            <v>318</v>
          </cell>
          <cell r="C322">
            <v>600.19999999999845</v>
          </cell>
          <cell r="D322">
            <v>840.28</v>
          </cell>
          <cell r="F322">
            <v>390.73000000000189</v>
          </cell>
          <cell r="G322">
            <v>547.02</v>
          </cell>
        </row>
        <row r="323">
          <cell r="B323">
            <v>319</v>
          </cell>
          <cell r="C323">
            <v>602.08999999999844</v>
          </cell>
          <cell r="D323">
            <v>842.93</v>
          </cell>
          <cell r="F323">
            <v>391.96000000000191</v>
          </cell>
          <cell r="G323">
            <v>548.74</v>
          </cell>
        </row>
        <row r="324">
          <cell r="B324">
            <v>320</v>
          </cell>
          <cell r="C324">
            <v>603.97999999999843</v>
          </cell>
          <cell r="D324">
            <v>845.57</v>
          </cell>
          <cell r="F324">
            <v>393.19000000000193</v>
          </cell>
          <cell r="G324">
            <v>550.47</v>
          </cell>
        </row>
        <row r="325">
          <cell r="B325">
            <v>321</v>
          </cell>
          <cell r="C325">
            <v>605.86999999999841</v>
          </cell>
          <cell r="D325">
            <v>848.22</v>
          </cell>
          <cell r="F325">
            <v>394.42000000000195</v>
          </cell>
          <cell r="G325">
            <v>552.19000000000005</v>
          </cell>
        </row>
        <row r="326">
          <cell r="B326">
            <v>322</v>
          </cell>
          <cell r="C326">
            <v>607.7599999999984</v>
          </cell>
          <cell r="D326">
            <v>850.86</v>
          </cell>
          <cell r="F326">
            <v>395.65000000000197</v>
          </cell>
          <cell r="G326">
            <v>553.91</v>
          </cell>
        </row>
        <row r="327">
          <cell r="B327">
            <v>323</v>
          </cell>
          <cell r="C327">
            <v>609.64999999999839</v>
          </cell>
          <cell r="D327">
            <v>853.51</v>
          </cell>
          <cell r="F327">
            <v>396.88000000000198</v>
          </cell>
          <cell r="G327">
            <v>555.63</v>
          </cell>
        </row>
        <row r="328">
          <cell r="B328">
            <v>324</v>
          </cell>
          <cell r="C328">
            <v>611.53999999999837</v>
          </cell>
          <cell r="D328">
            <v>856.16</v>
          </cell>
          <cell r="F328">
            <v>398.110000000002</v>
          </cell>
          <cell r="G328">
            <v>557.35</v>
          </cell>
        </row>
        <row r="329">
          <cell r="B329">
            <v>325</v>
          </cell>
          <cell r="C329">
            <v>613.42999999999836</v>
          </cell>
          <cell r="D329">
            <v>858.8</v>
          </cell>
          <cell r="F329">
            <v>399.34000000000202</v>
          </cell>
          <cell r="G329">
            <v>559.08000000000004</v>
          </cell>
        </row>
        <row r="330">
          <cell r="B330">
            <v>326</v>
          </cell>
          <cell r="C330">
            <v>615.31999999999834</v>
          </cell>
          <cell r="D330">
            <v>861.45</v>
          </cell>
          <cell r="F330">
            <v>400.57000000000204</v>
          </cell>
          <cell r="G330">
            <v>560.79999999999995</v>
          </cell>
        </row>
        <row r="331">
          <cell r="B331">
            <v>327</v>
          </cell>
          <cell r="C331">
            <v>617.20999999999833</v>
          </cell>
          <cell r="D331">
            <v>864.09</v>
          </cell>
          <cell r="F331">
            <v>401.80000000000206</v>
          </cell>
          <cell r="G331">
            <v>562.52</v>
          </cell>
        </row>
        <row r="332">
          <cell r="B332">
            <v>328</v>
          </cell>
          <cell r="C332">
            <v>619.09999999999832</v>
          </cell>
          <cell r="D332">
            <v>866.74</v>
          </cell>
          <cell r="F332">
            <v>403.03000000000208</v>
          </cell>
          <cell r="G332">
            <v>564.24</v>
          </cell>
        </row>
        <row r="333">
          <cell r="B333">
            <v>329</v>
          </cell>
          <cell r="C333">
            <v>620.9899999999983</v>
          </cell>
          <cell r="D333">
            <v>869.39</v>
          </cell>
          <cell r="F333">
            <v>404.26000000000209</v>
          </cell>
          <cell r="G333">
            <v>565.96</v>
          </cell>
        </row>
        <row r="334">
          <cell r="B334">
            <v>330</v>
          </cell>
          <cell r="C334">
            <v>622.87999999999829</v>
          </cell>
          <cell r="D334">
            <v>872.03</v>
          </cell>
          <cell r="F334">
            <v>405.49000000000211</v>
          </cell>
          <cell r="G334">
            <v>567.69000000000005</v>
          </cell>
        </row>
        <row r="335">
          <cell r="B335">
            <v>331</v>
          </cell>
          <cell r="C335">
            <v>624.76999999999828</v>
          </cell>
          <cell r="D335">
            <v>874.68</v>
          </cell>
          <cell r="F335">
            <v>406.72000000000213</v>
          </cell>
          <cell r="G335">
            <v>569.41</v>
          </cell>
        </row>
        <row r="336">
          <cell r="B336">
            <v>332</v>
          </cell>
          <cell r="C336">
            <v>626.65999999999826</v>
          </cell>
          <cell r="D336">
            <v>877.32</v>
          </cell>
          <cell r="F336">
            <v>407.95000000000215</v>
          </cell>
          <cell r="G336">
            <v>571.13</v>
          </cell>
        </row>
        <row r="337">
          <cell r="B337">
            <v>333</v>
          </cell>
          <cell r="C337">
            <v>628.54999999999825</v>
          </cell>
          <cell r="D337">
            <v>879.97</v>
          </cell>
          <cell r="F337">
            <v>409.18000000000217</v>
          </cell>
          <cell r="G337">
            <v>572.85</v>
          </cell>
        </row>
        <row r="338">
          <cell r="B338">
            <v>334</v>
          </cell>
          <cell r="C338">
            <v>630.43999999999824</v>
          </cell>
          <cell r="D338">
            <v>882.62</v>
          </cell>
          <cell r="F338">
            <v>410.41000000000219</v>
          </cell>
          <cell r="G338">
            <v>574.57000000000005</v>
          </cell>
        </row>
        <row r="339">
          <cell r="B339">
            <v>335</v>
          </cell>
          <cell r="C339">
            <v>632.32999999999822</v>
          </cell>
          <cell r="D339">
            <v>885.26</v>
          </cell>
          <cell r="F339">
            <v>411.6400000000022</v>
          </cell>
          <cell r="G339">
            <v>576.29999999999995</v>
          </cell>
        </row>
        <row r="340">
          <cell r="B340">
            <v>336</v>
          </cell>
          <cell r="C340">
            <v>634.21999999999821</v>
          </cell>
          <cell r="D340">
            <v>887.91</v>
          </cell>
          <cell r="F340">
            <v>412.87000000000222</v>
          </cell>
          <cell r="G340">
            <v>578.02</v>
          </cell>
        </row>
        <row r="341">
          <cell r="B341">
            <v>337</v>
          </cell>
          <cell r="C341">
            <v>636.10999999999819</v>
          </cell>
          <cell r="D341">
            <v>890.55</v>
          </cell>
          <cell r="F341">
            <v>414.10000000000224</v>
          </cell>
          <cell r="G341">
            <v>579.74</v>
          </cell>
        </row>
        <row r="342">
          <cell r="B342">
            <v>338</v>
          </cell>
          <cell r="C342">
            <v>637.99999999999818</v>
          </cell>
          <cell r="D342">
            <v>893.2</v>
          </cell>
          <cell r="F342">
            <v>415.33000000000226</v>
          </cell>
          <cell r="G342">
            <v>581.46</v>
          </cell>
        </row>
        <row r="343">
          <cell r="B343">
            <v>339</v>
          </cell>
          <cell r="C343">
            <v>639.88999999999817</v>
          </cell>
          <cell r="D343">
            <v>895.85</v>
          </cell>
          <cell r="F343">
            <v>416.56000000000228</v>
          </cell>
          <cell r="G343">
            <v>583.17999999999995</v>
          </cell>
        </row>
        <row r="344">
          <cell r="B344">
            <v>340</v>
          </cell>
          <cell r="C344">
            <v>641.77999999999815</v>
          </cell>
          <cell r="D344">
            <v>898.49</v>
          </cell>
          <cell r="F344">
            <v>417.79000000000229</v>
          </cell>
          <cell r="G344">
            <v>584.91</v>
          </cell>
        </row>
        <row r="345">
          <cell r="B345">
            <v>341</v>
          </cell>
          <cell r="C345">
            <v>643.66999999999814</v>
          </cell>
          <cell r="D345">
            <v>901.14</v>
          </cell>
          <cell r="F345">
            <v>419.02000000000231</v>
          </cell>
          <cell r="G345">
            <v>586.63</v>
          </cell>
        </row>
        <row r="346">
          <cell r="B346">
            <v>342</v>
          </cell>
          <cell r="C346">
            <v>645.55999999999813</v>
          </cell>
          <cell r="D346">
            <v>903.78</v>
          </cell>
          <cell r="F346">
            <v>420.25000000000233</v>
          </cell>
          <cell r="G346">
            <v>588.35</v>
          </cell>
        </row>
        <row r="347">
          <cell r="B347">
            <v>343</v>
          </cell>
          <cell r="C347">
            <v>647.44999999999811</v>
          </cell>
          <cell r="D347">
            <v>906.43</v>
          </cell>
          <cell r="F347">
            <v>421.48000000000235</v>
          </cell>
          <cell r="G347">
            <v>590.07000000000005</v>
          </cell>
        </row>
        <row r="348">
          <cell r="B348">
            <v>344</v>
          </cell>
          <cell r="C348">
            <v>649.3399999999981</v>
          </cell>
          <cell r="D348">
            <v>909.08</v>
          </cell>
          <cell r="F348">
            <v>422.71000000000237</v>
          </cell>
          <cell r="G348">
            <v>591.79</v>
          </cell>
        </row>
        <row r="349">
          <cell r="B349">
            <v>345</v>
          </cell>
          <cell r="C349">
            <v>651.22999999999809</v>
          </cell>
          <cell r="D349">
            <v>911.72</v>
          </cell>
          <cell r="F349">
            <v>423.94000000000239</v>
          </cell>
          <cell r="G349">
            <v>593.52</v>
          </cell>
        </row>
        <row r="350">
          <cell r="B350">
            <v>346</v>
          </cell>
          <cell r="C350">
            <v>653.11999999999807</v>
          </cell>
          <cell r="D350">
            <v>914.37</v>
          </cell>
          <cell r="F350">
            <v>425.1700000000024</v>
          </cell>
          <cell r="G350">
            <v>595.24</v>
          </cell>
        </row>
        <row r="351">
          <cell r="B351">
            <v>347</v>
          </cell>
          <cell r="C351">
            <v>655.00999999999806</v>
          </cell>
          <cell r="D351">
            <v>917.01</v>
          </cell>
          <cell r="F351">
            <v>426.40000000000242</v>
          </cell>
          <cell r="G351">
            <v>596.96</v>
          </cell>
        </row>
        <row r="352">
          <cell r="B352">
            <v>348</v>
          </cell>
          <cell r="C352">
            <v>656.89999999999804</v>
          </cell>
          <cell r="D352">
            <v>919.66</v>
          </cell>
          <cell r="F352">
            <v>427.63000000000244</v>
          </cell>
          <cell r="G352">
            <v>598.67999999999995</v>
          </cell>
        </row>
        <row r="353">
          <cell r="B353">
            <v>349</v>
          </cell>
          <cell r="C353">
            <v>658.78999999999803</v>
          </cell>
          <cell r="D353">
            <v>922.31</v>
          </cell>
          <cell r="F353">
            <v>428.86000000000246</v>
          </cell>
          <cell r="G353">
            <v>600.4</v>
          </cell>
        </row>
        <row r="354">
          <cell r="B354">
            <v>350</v>
          </cell>
          <cell r="C354">
            <v>660.67999999999802</v>
          </cell>
          <cell r="D354">
            <v>924.95</v>
          </cell>
          <cell r="F354">
            <v>430.09000000000248</v>
          </cell>
          <cell r="G354">
            <v>602.13</v>
          </cell>
        </row>
        <row r="355">
          <cell r="B355">
            <v>351</v>
          </cell>
          <cell r="C355">
            <v>662.569999999998</v>
          </cell>
          <cell r="D355">
            <v>927.6</v>
          </cell>
          <cell r="F355">
            <v>431.32000000000249</v>
          </cell>
          <cell r="G355">
            <v>603.85</v>
          </cell>
        </row>
        <row r="356">
          <cell r="B356">
            <v>352</v>
          </cell>
          <cell r="C356">
            <v>664.45999999999799</v>
          </cell>
          <cell r="D356">
            <v>930.24</v>
          </cell>
          <cell r="F356">
            <v>432.55000000000251</v>
          </cell>
          <cell r="G356">
            <v>605.57000000000005</v>
          </cell>
        </row>
        <row r="357">
          <cell r="B357">
            <v>353</v>
          </cell>
          <cell r="C357">
            <v>666.34999999999798</v>
          </cell>
          <cell r="D357">
            <v>932.89</v>
          </cell>
          <cell r="F357">
            <v>433.78000000000253</v>
          </cell>
          <cell r="G357">
            <v>607.29</v>
          </cell>
        </row>
        <row r="358">
          <cell r="B358">
            <v>354</v>
          </cell>
          <cell r="C358">
            <v>668.23999999999796</v>
          </cell>
          <cell r="D358">
            <v>935.54</v>
          </cell>
          <cell r="F358">
            <v>435.01000000000255</v>
          </cell>
          <cell r="G358">
            <v>609.01</v>
          </cell>
        </row>
        <row r="359">
          <cell r="B359">
            <v>355</v>
          </cell>
          <cell r="C359">
            <v>670.12999999999795</v>
          </cell>
          <cell r="D359">
            <v>938.18</v>
          </cell>
          <cell r="F359">
            <v>436.24000000000257</v>
          </cell>
          <cell r="G359">
            <v>610.74</v>
          </cell>
        </row>
        <row r="360">
          <cell r="B360">
            <v>356</v>
          </cell>
          <cell r="C360">
            <v>672.01999999999794</v>
          </cell>
          <cell r="D360">
            <v>940.83</v>
          </cell>
          <cell r="F360">
            <v>437.47000000000259</v>
          </cell>
          <cell r="G360">
            <v>612.46</v>
          </cell>
        </row>
        <row r="361">
          <cell r="B361">
            <v>357</v>
          </cell>
          <cell r="C361">
            <v>673.90999999999792</v>
          </cell>
          <cell r="D361">
            <v>943.47</v>
          </cell>
          <cell r="F361">
            <v>438.7000000000026</v>
          </cell>
          <cell r="G361">
            <v>614.17999999999995</v>
          </cell>
        </row>
        <row r="362">
          <cell r="B362">
            <v>358</v>
          </cell>
          <cell r="C362">
            <v>675.79999999999791</v>
          </cell>
          <cell r="D362">
            <v>946.12</v>
          </cell>
          <cell r="F362">
            <v>439.93000000000262</v>
          </cell>
          <cell r="G362">
            <v>615.9</v>
          </cell>
        </row>
        <row r="363">
          <cell r="B363">
            <v>359</v>
          </cell>
          <cell r="C363">
            <v>677.68999999999789</v>
          </cell>
          <cell r="D363">
            <v>948.77</v>
          </cell>
          <cell r="F363">
            <v>441.16000000000264</v>
          </cell>
          <cell r="G363">
            <v>617.62</v>
          </cell>
        </row>
        <row r="364">
          <cell r="B364">
            <v>360</v>
          </cell>
          <cell r="C364">
            <v>679.57999999999788</v>
          </cell>
          <cell r="D364">
            <v>951.41</v>
          </cell>
          <cell r="F364">
            <v>442.39000000000266</v>
          </cell>
          <cell r="G364">
            <v>619.35</v>
          </cell>
        </row>
        <row r="365">
          <cell r="B365">
            <v>361</v>
          </cell>
          <cell r="C365">
            <v>681.46999999999787</v>
          </cell>
          <cell r="D365">
            <v>954.06</v>
          </cell>
          <cell r="F365">
            <v>443.62000000000268</v>
          </cell>
          <cell r="G365">
            <v>621.07000000000005</v>
          </cell>
        </row>
        <row r="366">
          <cell r="B366">
            <v>362</v>
          </cell>
          <cell r="C366">
            <v>683.35999999999785</v>
          </cell>
          <cell r="D366">
            <v>956.7</v>
          </cell>
          <cell r="F366">
            <v>444.85000000000269</v>
          </cell>
          <cell r="G366">
            <v>622.79</v>
          </cell>
        </row>
        <row r="367">
          <cell r="B367">
            <v>363</v>
          </cell>
          <cell r="C367">
            <v>685.24999999999784</v>
          </cell>
          <cell r="D367">
            <v>959.35</v>
          </cell>
          <cell r="F367">
            <v>446.08000000000271</v>
          </cell>
          <cell r="G367">
            <v>624.51</v>
          </cell>
        </row>
        <row r="368">
          <cell r="B368">
            <v>364</v>
          </cell>
          <cell r="C368">
            <v>687.13999999999783</v>
          </cell>
          <cell r="D368">
            <v>962</v>
          </cell>
          <cell r="F368">
            <v>447.31000000000273</v>
          </cell>
          <cell r="G368">
            <v>626.23</v>
          </cell>
        </row>
        <row r="369">
          <cell r="B369">
            <v>365</v>
          </cell>
          <cell r="C369">
            <v>689.02999999999781</v>
          </cell>
          <cell r="D369">
            <v>964.64</v>
          </cell>
          <cell r="F369">
            <v>448.54000000000275</v>
          </cell>
          <cell r="G369">
            <v>627.96</v>
          </cell>
        </row>
        <row r="370">
          <cell r="B370">
            <v>366</v>
          </cell>
          <cell r="C370">
            <v>690.9199999999978</v>
          </cell>
          <cell r="D370">
            <v>967.29</v>
          </cell>
          <cell r="F370">
            <v>449.77000000000277</v>
          </cell>
          <cell r="G370">
            <v>629.67999999999995</v>
          </cell>
        </row>
        <row r="371">
          <cell r="B371">
            <v>367</v>
          </cell>
          <cell r="C371">
            <v>692.80999999999779</v>
          </cell>
          <cell r="D371">
            <v>969.93</v>
          </cell>
          <cell r="F371">
            <v>451.00000000000279</v>
          </cell>
          <cell r="G371">
            <v>631.4</v>
          </cell>
        </row>
        <row r="372">
          <cell r="B372">
            <v>368</v>
          </cell>
          <cell r="C372">
            <v>694.69999999999777</v>
          </cell>
          <cell r="D372">
            <v>972.58</v>
          </cell>
          <cell r="F372">
            <v>452.2300000000028</v>
          </cell>
          <cell r="G372">
            <v>633.12</v>
          </cell>
        </row>
        <row r="373">
          <cell r="B373">
            <v>369</v>
          </cell>
          <cell r="C373">
            <v>696.58999999999776</v>
          </cell>
          <cell r="D373">
            <v>975.23</v>
          </cell>
          <cell r="F373">
            <v>453.46000000000282</v>
          </cell>
          <cell r="G373">
            <v>634.84</v>
          </cell>
        </row>
        <row r="374">
          <cell r="B374">
            <v>370</v>
          </cell>
          <cell r="C374">
            <v>698.47999999999774</v>
          </cell>
          <cell r="D374">
            <v>977.87</v>
          </cell>
          <cell r="F374">
            <v>454.69000000000284</v>
          </cell>
          <cell r="G374">
            <v>636.57000000000005</v>
          </cell>
        </row>
        <row r="375">
          <cell r="B375">
            <v>371</v>
          </cell>
          <cell r="C375">
            <v>700.36999999999773</v>
          </cell>
          <cell r="D375">
            <v>980.52</v>
          </cell>
          <cell r="F375">
            <v>455.92000000000286</v>
          </cell>
          <cell r="G375">
            <v>638.29</v>
          </cell>
        </row>
        <row r="376">
          <cell r="B376">
            <v>372</v>
          </cell>
          <cell r="C376">
            <v>702.25999999999772</v>
          </cell>
          <cell r="D376">
            <v>983.16</v>
          </cell>
          <cell r="F376">
            <v>457.15000000000288</v>
          </cell>
          <cell r="G376">
            <v>640.01</v>
          </cell>
        </row>
        <row r="377">
          <cell r="B377">
            <v>373</v>
          </cell>
          <cell r="C377">
            <v>704.1499999999977</v>
          </cell>
          <cell r="D377">
            <v>985.81</v>
          </cell>
          <cell r="F377">
            <v>458.38000000000289</v>
          </cell>
          <cell r="G377">
            <v>641.73</v>
          </cell>
        </row>
        <row r="378">
          <cell r="B378">
            <v>374</v>
          </cell>
          <cell r="C378">
            <v>706.03999999999769</v>
          </cell>
          <cell r="D378">
            <v>988.46</v>
          </cell>
          <cell r="F378">
            <v>459.61000000000291</v>
          </cell>
          <cell r="G378">
            <v>643.45000000000005</v>
          </cell>
        </row>
        <row r="379">
          <cell r="B379">
            <v>375</v>
          </cell>
          <cell r="C379">
            <v>707.92999999999768</v>
          </cell>
          <cell r="D379">
            <v>991.1</v>
          </cell>
          <cell r="F379">
            <v>460.84000000000293</v>
          </cell>
          <cell r="G379">
            <v>645.17999999999995</v>
          </cell>
        </row>
        <row r="380">
          <cell r="B380">
            <v>376</v>
          </cell>
          <cell r="C380">
            <v>709.81999999999766</v>
          </cell>
          <cell r="D380">
            <v>993.75</v>
          </cell>
          <cell r="F380">
            <v>462.07000000000295</v>
          </cell>
          <cell r="G380">
            <v>646.9</v>
          </cell>
        </row>
        <row r="381">
          <cell r="B381">
            <v>377</v>
          </cell>
          <cell r="C381">
            <v>711.70999999999765</v>
          </cell>
          <cell r="D381">
            <v>996.39</v>
          </cell>
          <cell r="F381">
            <v>463.30000000000297</v>
          </cell>
          <cell r="G381">
            <v>648.62</v>
          </cell>
        </row>
        <row r="382">
          <cell r="B382">
            <v>378</v>
          </cell>
          <cell r="C382">
            <v>713.59999999999764</v>
          </cell>
          <cell r="D382">
            <v>999.04</v>
          </cell>
          <cell r="F382">
            <v>464.53000000000299</v>
          </cell>
          <cell r="G382">
            <v>650.34</v>
          </cell>
        </row>
        <row r="383">
          <cell r="B383">
            <v>379</v>
          </cell>
          <cell r="C383">
            <v>715.48999999999762</v>
          </cell>
          <cell r="D383">
            <v>1001.69</v>
          </cell>
          <cell r="F383">
            <v>465.760000000003</v>
          </cell>
          <cell r="G383">
            <v>652.05999999999995</v>
          </cell>
        </row>
        <row r="384">
          <cell r="B384">
            <v>380</v>
          </cell>
          <cell r="C384">
            <v>717.37999999999761</v>
          </cell>
          <cell r="D384">
            <v>1004.33</v>
          </cell>
          <cell r="F384">
            <v>466.99000000000302</v>
          </cell>
          <cell r="G384">
            <v>653.79</v>
          </cell>
        </row>
        <row r="385">
          <cell r="B385">
            <v>381</v>
          </cell>
          <cell r="C385">
            <v>719.26999999999759</v>
          </cell>
          <cell r="D385">
            <v>1006.98</v>
          </cell>
          <cell r="F385">
            <v>468.22000000000304</v>
          </cell>
          <cell r="G385">
            <v>655.51</v>
          </cell>
        </row>
        <row r="386">
          <cell r="B386">
            <v>382</v>
          </cell>
          <cell r="C386">
            <v>721.15999999999758</v>
          </cell>
          <cell r="D386">
            <v>1009.62</v>
          </cell>
          <cell r="F386">
            <v>469.45000000000306</v>
          </cell>
          <cell r="G386">
            <v>657.23</v>
          </cell>
        </row>
        <row r="387">
          <cell r="B387">
            <v>383</v>
          </cell>
          <cell r="C387">
            <v>723.04999999999757</v>
          </cell>
          <cell r="D387">
            <v>1012.27</v>
          </cell>
          <cell r="F387">
            <v>470.68000000000308</v>
          </cell>
          <cell r="G387">
            <v>658.95</v>
          </cell>
        </row>
        <row r="388">
          <cell r="B388">
            <v>384</v>
          </cell>
          <cell r="C388">
            <v>724.93999999999755</v>
          </cell>
          <cell r="D388">
            <v>1014.92</v>
          </cell>
          <cell r="F388">
            <v>471.91000000000309</v>
          </cell>
          <cell r="G388">
            <v>660.67</v>
          </cell>
        </row>
        <row r="389">
          <cell r="B389">
            <v>385</v>
          </cell>
          <cell r="C389">
            <v>726.82999999999754</v>
          </cell>
          <cell r="D389">
            <v>1017.56</v>
          </cell>
          <cell r="F389">
            <v>473.14000000000311</v>
          </cell>
          <cell r="G389">
            <v>662.4</v>
          </cell>
        </row>
        <row r="390">
          <cell r="B390">
            <v>386</v>
          </cell>
          <cell r="C390">
            <v>728.71999999999753</v>
          </cell>
          <cell r="D390">
            <v>1020.21</v>
          </cell>
          <cell r="F390">
            <v>474.37000000000313</v>
          </cell>
          <cell r="G390">
            <v>664.12</v>
          </cell>
        </row>
        <row r="391">
          <cell r="B391">
            <v>387</v>
          </cell>
          <cell r="C391">
            <v>730.60999999999751</v>
          </cell>
          <cell r="D391">
            <v>1022.85</v>
          </cell>
          <cell r="F391">
            <v>475.60000000000315</v>
          </cell>
          <cell r="G391">
            <v>665.84</v>
          </cell>
        </row>
        <row r="392">
          <cell r="B392">
            <v>388</v>
          </cell>
          <cell r="C392">
            <v>732.4999999999975</v>
          </cell>
          <cell r="D392">
            <v>1025.5</v>
          </cell>
          <cell r="F392">
            <v>476.83000000000317</v>
          </cell>
          <cell r="G392">
            <v>667.56</v>
          </cell>
        </row>
        <row r="393">
          <cell r="B393">
            <v>389</v>
          </cell>
          <cell r="C393">
            <v>734.38999999999749</v>
          </cell>
          <cell r="D393">
            <v>1028.1500000000001</v>
          </cell>
          <cell r="F393">
            <v>478.06000000000319</v>
          </cell>
          <cell r="G393">
            <v>669.28</v>
          </cell>
        </row>
        <row r="394">
          <cell r="B394">
            <v>390</v>
          </cell>
          <cell r="C394">
            <v>736.27999999999747</v>
          </cell>
          <cell r="D394">
            <v>1030.79</v>
          </cell>
          <cell r="F394">
            <v>479.2900000000032</v>
          </cell>
          <cell r="G394">
            <v>671.01</v>
          </cell>
        </row>
        <row r="395">
          <cell r="B395">
            <v>391</v>
          </cell>
          <cell r="C395">
            <v>738.16999999999746</v>
          </cell>
          <cell r="D395">
            <v>1033.44</v>
          </cell>
          <cell r="F395">
            <v>480.52000000000322</v>
          </cell>
          <cell r="G395">
            <v>672.73</v>
          </cell>
        </row>
        <row r="396">
          <cell r="B396">
            <v>392</v>
          </cell>
          <cell r="C396">
            <v>740.05999999999744</v>
          </cell>
          <cell r="D396">
            <v>1036.08</v>
          </cell>
          <cell r="F396">
            <v>481.75000000000324</v>
          </cell>
          <cell r="G396">
            <v>674.45</v>
          </cell>
        </row>
        <row r="397">
          <cell r="B397">
            <v>393</v>
          </cell>
          <cell r="C397">
            <v>741.94999999999743</v>
          </cell>
          <cell r="D397">
            <v>1038.73</v>
          </cell>
          <cell r="F397">
            <v>482.98000000000326</v>
          </cell>
          <cell r="G397">
            <v>676.17</v>
          </cell>
        </row>
        <row r="398">
          <cell r="B398">
            <v>394</v>
          </cell>
          <cell r="C398">
            <v>743.83999999999742</v>
          </cell>
          <cell r="D398">
            <v>1041.3800000000001</v>
          </cell>
          <cell r="F398">
            <v>484.21000000000328</v>
          </cell>
          <cell r="G398">
            <v>677.89</v>
          </cell>
        </row>
        <row r="399">
          <cell r="B399">
            <v>395</v>
          </cell>
          <cell r="C399">
            <v>745.7299999999974</v>
          </cell>
          <cell r="D399">
            <v>1044.02</v>
          </cell>
          <cell r="F399">
            <v>485.44000000000329</v>
          </cell>
          <cell r="G399">
            <v>679.62</v>
          </cell>
        </row>
        <row r="400">
          <cell r="B400">
            <v>396</v>
          </cell>
          <cell r="C400">
            <v>747.61999999999739</v>
          </cell>
          <cell r="D400">
            <v>1046.67</v>
          </cell>
          <cell r="F400">
            <v>486.67000000000331</v>
          </cell>
          <cell r="G400">
            <v>681.34</v>
          </cell>
        </row>
        <row r="401">
          <cell r="B401">
            <v>397</v>
          </cell>
          <cell r="C401">
            <v>749.50999999999738</v>
          </cell>
          <cell r="D401">
            <v>1049.31</v>
          </cell>
          <cell r="F401">
            <v>487.90000000000333</v>
          </cell>
          <cell r="G401">
            <v>683.06</v>
          </cell>
        </row>
        <row r="402">
          <cell r="B402">
            <v>398</v>
          </cell>
          <cell r="C402">
            <v>751.39999999999736</v>
          </cell>
          <cell r="D402">
            <v>1051.96</v>
          </cell>
          <cell r="F402">
            <v>489.13000000000335</v>
          </cell>
          <cell r="G402">
            <v>684.78</v>
          </cell>
        </row>
        <row r="403">
          <cell r="B403">
            <v>399</v>
          </cell>
          <cell r="C403">
            <v>753.28999999999735</v>
          </cell>
          <cell r="D403">
            <v>1054.6099999999999</v>
          </cell>
          <cell r="F403">
            <v>490.36000000000337</v>
          </cell>
          <cell r="G403">
            <v>686.5</v>
          </cell>
        </row>
        <row r="404">
          <cell r="B404">
            <v>400</v>
          </cell>
          <cell r="C404">
            <v>755.17999999999734</v>
          </cell>
          <cell r="D404">
            <v>1057.25</v>
          </cell>
          <cell r="F404">
            <v>491.59000000000339</v>
          </cell>
          <cell r="G404">
            <v>688.23</v>
          </cell>
        </row>
        <row r="405">
          <cell r="B405">
            <v>401</v>
          </cell>
          <cell r="C405">
            <v>757.06999999999732</v>
          </cell>
          <cell r="D405">
            <v>1059.9000000000001</v>
          </cell>
          <cell r="F405">
            <v>492.8200000000034</v>
          </cell>
          <cell r="G405">
            <v>689.95</v>
          </cell>
        </row>
        <row r="406">
          <cell r="B406">
            <v>402</v>
          </cell>
          <cell r="C406">
            <v>758.95999999999731</v>
          </cell>
          <cell r="D406">
            <v>1062.54</v>
          </cell>
          <cell r="F406">
            <v>494.05000000000342</v>
          </cell>
          <cell r="G406">
            <v>691.67</v>
          </cell>
        </row>
        <row r="407">
          <cell r="B407">
            <v>403</v>
          </cell>
          <cell r="C407">
            <v>760.84999999999729</v>
          </cell>
          <cell r="D407">
            <v>1065.19</v>
          </cell>
          <cell r="F407">
            <v>495.28000000000344</v>
          </cell>
          <cell r="G407">
            <v>693.39</v>
          </cell>
        </row>
        <row r="408">
          <cell r="B408">
            <v>404</v>
          </cell>
          <cell r="C408">
            <v>762.73999999999728</v>
          </cell>
          <cell r="D408">
            <v>1067.8399999999999</v>
          </cell>
          <cell r="F408">
            <v>496.51000000000346</v>
          </cell>
          <cell r="G408">
            <v>695.11</v>
          </cell>
        </row>
        <row r="409">
          <cell r="B409">
            <v>405</v>
          </cell>
          <cell r="C409">
            <v>764.62999999999727</v>
          </cell>
          <cell r="D409">
            <v>1070.48</v>
          </cell>
          <cell r="F409">
            <v>497.74000000000348</v>
          </cell>
          <cell r="G409">
            <v>696.84</v>
          </cell>
        </row>
        <row r="410">
          <cell r="B410">
            <v>406</v>
          </cell>
          <cell r="C410">
            <v>766.51999999999725</v>
          </cell>
          <cell r="D410">
            <v>1073.1300000000001</v>
          </cell>
          <cell r="F410">
            <v>498.97000000000349</v>
          </cell>
          <cell r="G410">
            <v>698.56</v>
          </cell>
        </row>
        <row r="411">
          <cell r="B411">
            <v>407</v>
          </cell>
          <cell r="C411">
            <v>768.40999999999724</v>
          </cell>
          <cell r="D411">
            <v>1075.77</v>
          </cell>
          <cell r="F411">
            <v>500.20000000000351</v>
          </cell>
          <cell r="G411">
            <v>700.28</v>
          </cell>
        </row>
        <row r="412">
          <cell r="B412">
            <v>408</v>
          </cell>
          <cell r="C412">
            <v>770.29999999999723</v>
          </cell>
          <cell r="D412">
            <v>1078.42</v>
          </cell>
          <cell r="F412">
            <v>501.43000000000353</v>
          </cell>
          <cell r="G412">
            <v>702</v>
          </cell>
        </row>
        <row r="413">
          <cell r="B413">
            <v>409</v>
          </cell>
          <cell r="C413">
            <v>772.18999999999721</v>
          </cell>
          <cell r="D413">
            <v>1081.07</v>
          </cell>
          <cell r="F413">
            <v>502.66000000000355</v>
          </cell>
          <cell r="G413">
            <v>703.72</v>
          </cell>
        </row>
        <row r="414">
          <cell r="B414">
            <v>410</v>
          </cell>
          <cell r="C414">
            <v>774.0799999999972</v>
          </cell>
          <cell r="D414">
            <v>1083.71</v>
          </cell>
          <cell r="F414">
            <v>503.89000000000357</v>
          </cell>
          <cell r="G414">
            <v>705.45</v>
          </cell>
        </row>
        <row r="415">
          <cell r="B415">
            <v>411</v>
          </cell>
          <cell r="C415">
            <v>775.96999999999719</v>
          </cell>
          <cell r="D415">
            <v>1086.3599999999999</v>
          </cell>
          <cell r="F415">
            <v>505.12000000000359</v>
          </cell>
          <cell r="G415">
            <v>707.17</v>
          </cell>
        </row>
        <row r="416">
          <cell r="B416">
            <v>412</v>
          </cell>
          <cell r="C416">
            <v>777.85999999999717</v>
          </cell>
          <cell r="D416">
            <v>1089</v>
          </cell>
          <cell r="F416">
            <v>506.3500000000036</v>
          </cell>
          <cell r="G416">
            <v>708.89</v>
          </cell>
        </row>
        <row r="417">
          <cell r="B417">
            <v>413</v>
          </cell>
          <cell r="C417">
            <v>779.74999999999716</v>
          </cell>
          <cell r="D417">
            <v>1091.6500000000001</v>
          </cell>
          <cell r="F417">
            <v>507.58000000000362</v>
          </cell>
          <cell r="G417">
            <v>710.61</v>
          </cell>
        </row>
        <row r="418">
          <cell r="B418">
            <v>414</v>
          </cell>
          <cell r="C418">
            <v>781.63999999999714</v>
          </cell>
          <cell r="D418">
            <v>1094.3</v>
          </cell>
          <cell r="F418">
            <v>508.81000000000364</v>
          </cell>
          <cell r="G418">
            <v>712.33</v>
          </cell>
        </row>
        <row r="419">
          <cell r="B419">
            <v>415</v>
          </cell>
          <cell r="C419">
            <v>783.52999999999713</v>
          </cell>
          <cell r="D419">
            <v>1096.94</v>
          </cell>
          <cell r="F419">
            <v>510.04000000000366</v>
          </cell>
          <cell r="G419">
            <v>714.06</v>
          </cell>
        </row>
        <row r="420">
          <cell r="B420">
            <v>416</v>
          </cell>
          <cell r="C420">
            <v>785.41999999999712</v>
          </cell>
          <cell r="D420">
            <v>1099.5899999999999</v>
          </cell>
          <cell r="F420">
            <v>511.27000000000368</v>
          </cell>
          <cell r="G420">
            <v>715.78</v>
          </cell>
        </row>
        <row r="421">
          <cell r="B421">
            <v>417</v>
          </cell>
          <cell r="C421">
            <v>787.3099999999971</v>
          </cell>
          <cell r="D421">
            <v>1102.23</v>
          </cell>
          <cell r="F421">
            <v>512.50000000000364</v>
          </cell>
          <cell r="G421">
            <v>717.5</v>
          </cell>
        </row>
        <row r="422">
          <cell r="B422">
            <v>418</v>
          </cell>
          <cell r="C422">
            <v>789.19999999999709</v>
          </cell>
          <cell r="D422">
            <v>1104.8800000000001</v>
          </cell>
          <cell r="F422">
            <v>513.73000000000366</v>
          </cell>
          <cell r="G422">
            <v>719.22</v>
          </cell>
        </row>
        <row r="423">
          <cell r="B423">
            <v>419</v>
          </cell>
          <cell r="C423">
            <v>791.08999999999708</v>
          </cell>
          <cell r="D423">
            <v>1107.53</v>
          </cell>
          <cell r="F423">
            <v>514.96000000000367</v>
          </cell>
          <cell r="G423">
            <v>720.94</v>
          </cell>
        </row>
        <row r="424">
          <cell r="B424">
            <v>420</v>
          </cell>
          <cell r="C424">
            <v>792.97999999999706</v>
          </cell>
          <cell r="D424">
            <v>1110.17</v>
          </cell>
          <cell r="F424">
            <v>516.19000000000369</v>
          </cell>
          <cell r="G424">
            <v>722.67</v>
          </cell>
        </row>
        <row r="425">
          <cell r="B425">
            <v>421</v>
          </cell>
          <cell r="C425">
            <v>794.86999999999705</v>
          </cell>
          <cell r="D425">
            <v>1112.82</v>
          </cell>
          <cell r="F425">
            <v>517.42000000000371</v>
          </cell>
          <cell r="G425">
            <v>724.39</v>
          </cell>
        </row>
        <row r="426">
          <cell r="B426">
            <v>422</v>
          </cell>
          <cell r="C426">
            <v>796.75999999999704</v>
          </cell>
          <cell r="D426">
            <v>1115.46</v>
          </cell>
          <cell r="F426">
            <v>518.65000000000373</v>
          </cell>
          <cell r="G426">
            <v>726.11</v>
          </cell>
        </row>
        <row r="427">
          <cell r="B427">
            <v>423</v>
          </cell>
          <cell r="C427">
            <v>798.64999999999702</v>
          </cell>
          <cell r="D427">
            <v>1118.1099999999999</v>
          </cell>
          <cell r="F427">
            <v>519.88000000000375</v>
          </cell>
          <cell r="G427">
            <v>727.83</v>
          </cell>
        </row>
        <row r="428">
          <cell r="B428">
            <v>424</v>
          </cell>
          <cell r="C428">
            <v>800.53999999999701</v>
          </cell>
          <cell r="D428">
            <v>1120.76</v>
          </cell>
          <cell r="F428">
            <v>521.11000000000377</v>
          </cell>
          <cell r="G428">
            <v>729.55</v>
          </cell>
        </row>
        <row r="429">
          <cell r="B429">
            <v>425</v>
          </cell>
          <cell r="C429">
            <v>802.42999999999699</v>
          </cell>
          <cell r="D429">
            <v>1123.4000000000001</v>
          </cell>
          <cell r="F429">
            <v>522.34000000000378</v>
          </cell>
          <cell r="G429">
            <v>731.28</v>
          </cell>
        </row>
        <row r="430">
          <cell r="B430">
            <v>426</v>
          </cell>
          <cell r="C430">
            <v>804.31999999999698</v>
          </cell>
          <cell r="D430">
            <v>1126.05</v>
          </cell>
          <cell r="F430">
            <v>523.5700000000038</v>
          </cell>
          <cell r="G430">
            <v>733</v>
          </cell>
        </row>
        <row r="431">
          <cell r="B431">
            <v>427</v>
          </cell>
          <cell r="C431">
            <v>806.20999999999697</v>
          </cell>
          <cell r="D431">
            <v>1128.69</v>
          </cell>
          <cell r="F431">
            <v>524.80000000000382</v>
          </cell>
          <cell r="G431">
            <v>734.72</v>
          </cell>
        </row>
        <row r="432">
          <cell r="B432">
            <v>428</v>
          </cell>
          <cell r="C432">
            <v>808.09999999999695</v>
          </cell>
          <cell r="D432">
            <v>1131.3399999999999</v>
          </cell>
          <cell r="F432">
            <v>526.03000000000384</v>
          </cell>
          <cell r="G432">
            <v>736.44</v>
          </cell>
        </row>
        <row r="433">
          <cell r="B433">
            <v>429</v>
          </cell>
          <cell r="C433">
            <v>809.98999999999694</v>
          </cell>
          <cell r="D433">
            <v>1133.99</v>
          </cell>
          <cell r="F433">
            <v>527.26000000000386</v>
          </cell>
          <cell r="G433">
            <v>738.16</v>
          </cell>
        </row>
        <row r="434">
          <cell r="B434">
            <v>430</v>
          </cell>
          <cell r="C434">
            <v>811.87999999999693</v>
          </cell>
          <cell r="D434">
            <v>1136.6300000000001</v>
          </cell>
          <cell r="F434">
            <v>528.49000000000387</v>
          </cell>
          <cell r="G434">
            <v>739.89</v>
          </cell>
        </row>
        <row r="435">
          <cell r="B435">
            <v>431</v>
          </cell>
          <cell r="C435">
            <v>813.76999999999691</v>
          </cell>
          <cell r="D435">
            <v>1139.28</v>
          </cell>
          <cell r="F435">
            <v>529.72000000000389</v>
          </cell>
          <cell r="G435">
            <v>741.61</v>
          </cell>
        </row>
        <row r="436">
          <cell r="B436">
            <v>432</v>
          </cell>
          <cell r="C436">
            <v>815.6599999999969</v>
          </cell>
          <cell r="D436">
            <v>1141.92</v>
          </cell>
          <cell r="F436">
            <v>530.95000000000391</v>
          </cell>
          <cell r="G436">
            <v>743.33</v>
          </cell>
        </row>
        <row r="437">
          <cell r="B437">
            <v>433</v>
          </cell>
          <cell r="C437">
            <v>817.54999999999688</v>
          </cell>
          <cell r="D437">
            <v>1144.57</v>
          </cell>
          <cell r="F437">
            <v>532.18000000000393</v>
          </cell>
          <cell r="G437">
            <v>745.05</v>
          </cell>
        </row>
        <row r="438">
          <cell r="B438">
            <v>434</v>
          </cell>
          <cell r="C438">
            <v>819.43999999999687</v>
          </cell>
          <cell r="D438">
            <v>1147.22</v>
          </cell>
          <cell r="F438">
            <v>533.41000000000395</v>
          </cell>
          <cell r="G438">
            <v>746.77</v>
          </cell>
        </row>
        <row r="439">
          <cell r="B439">
            <v>435</v>
          </cell>
          <cell r="C439">
            <v>821.32999999999686</v>
          </cell>
          <cell r="D439">
            <v>1149.8599999999999</v>
          </cell>
          <cell r="F439">
            <v>534.64000000000397</v>
          </cell>
          <cell r="G439">
            <v>748.5</v>
          </cell>
        </row>
        <row r="440">
          <cell r="B440">
            <v>436</v>
          </cell>
          <cell r="C440">
            <v>823.21999999999684</v>
          </cell>
          <cell r="D440">
            <v>1152.51</v>
          </cell>
          <cell r="F440">
            <v>535.87000000000398</v>
          </cell>
          <cell r="G440">
            <v>750.22</v>
          </cell>
        </row>
        <row r="441">
          <cell r="B441">
            <v>437</v>
          </cell>
          <cell r="C441">
            <v>825.10999999999683</v>
          </cell>
          <cell r="D441">
            <v>1155.1500000000001</v>
          </cell>
          <cell r="F441">
            <v>537.100000000004</v>
          </cell>
          <cell r="G441">
            <v>751.94</v>
          </cell>
        </row>
        <row r="442">
          <cell r="B442">
            <v>438</v>
          </cell>
          <cell r="C442">
            <v>826.99999999999682</v>
          </cell>
          <cell r="D442">
            <v>1157.8</v>
          </cell>
          <cell r="F442">
            <v>538.33000000000402</v>
          </cell>
          <cell r="G442">
            <v>753.66</v>
          </cell>
        </row>
        <row r="443">
          <cell r="B443">
            <v>439</v>
          </cell>
          <cell r="C443">
            <v>828.8899999999968</v>
          </cell>
          <cell r="D443">
            <v>1160.45</v>
          </cell>
          <cell r="F443">
            <v>539.56000000000404</v>
          </cell>
          <cell r="G443">
            <v>755.38</v>
          </cell>
        </row>
        <row r="444">
          <cell r="B444">
            <v>440</v>
          </cell>
          <cell r="C444">
            <v>830.77999999999679</v>
          </cell>
          <cell r="D444">
            <v>1163.0899999999999</v>
          </cell>
          <cell r="F444">
            <v>540.79000000000406</v>
          </cell>
          <cell r="G444">
            <v>757.11</v>
          </cell>
        </row>
        <row r="445">
          <cell r="B445">
            <v>441</v>
          </cell>
          <cell r="C445">
            <v>832.66999999999678</v>
          </cell>
          <cell r="D445">
            <v>1165.74</v>
          </cell>
          <cell r="F445">
            <v>542.02000000000407</v>
          </cell>
          <cell r="G445">
            <v>758.83</v>
          </cell>
        </row>
        <row r="446">
          <cell r="B446">
            <v>442</v>
          </cell>
          <cell r="C446">
            <v>834.55999999999676</v>
          </cell>
          <cell r="D446">
            <v>1168.3800000000001</v>
          </cell>
          <cell r="F446">
            <v>543.25000000000409</v>
          </cell>
          <cell r="G446">
            <v>760.55</v>
          </cell>
        </row>
        <row r="447">
          <cell r="B447">
            <v>443</v>
          </cell>
          <cell r="C447">
            <v>836.44999999999675</v>
          </cell>
          <cell r="D447">
            <v>1171.03</v>
          </cell>
          <cell r="F447">
            <v>544.48000000000411</v>
          </cell>
          <cell r="G447">
            <v>762.27</v>
          </cell>
        </row>
        <row r="448">
          <cell r="B448">
            <v>444</v>
          </cell>
          <cell r="C448">
            <v>838.33999999999673</v>
          </cell>
          <cell r="D448">
            <v>1173.68</v>
          </cell>
          <cell r="F448">
            <v>545.71000000000413</v>
          </cell>
          <cell r="G448">
            <v>763.99</v>
          </cell>
        </row>
        <row r="449">
          <cell r="B449">
            <v>445</v>
          </cell>
          <cell r="C449">
            <v>840.22999999999672</v>
          </cell>
          <cell r="D449">
            <v>1176.32</v>
          </cell>
          <cell r="F449">
            <v>546.94000000000415</v>
          </cell>
          <cell r="G449">
            <v>765.72</v>
          </cell>
        </row>
        <row r="450">
          <cell r="B450">
            <v>446</v>
          </cell>
          <cell r="C450">
            <v>842.11999999999671</v>
          </cell>
          <cell r="D450">
            <v>1178.97</v>
          </cell>
          <cell r="F450">
            <v>548.17000000000417</v>
          </cell>
          <cell r="G450">
            <v>767.44</v>
          </cell>
        </row>
        <row r="451">
          <cell r="B451">
            <v>447</v>
          </cell>
          <cell r="C451">
            <v>844.00999999999669</v>
          </cell>
          <cell r="D451">
            <v>1181.6099999999999</v>
          </cell>
          <cell r="F451">
            <v>549.40000000000418</v>
          </cell>
          <cell r="G451">
            <v>769.16</v>
          </cell>
        </row>
        <row r="452">
          <cell r="B452">
            <v>448</v>
          </cell>
          <cell r="C452">
            <v>845.89999999999668</v>
          </cell>
          <cell r="D452">
            <v>1184.26</v>
          </cell>
          <cell r="F452">
            <v>550.6300000000042</v>
          </cell>
          <cell r="G452">
            <v>770.88</v>
          </cell>
        </row>
        <row r="453">
          <cell r="B453">
            <v>449</v>
          </cell>
          <cell r="C453">
            <v>847.78999999999667</v>
          </cell>
          <cell r="D453">
            <v>1186.9100000000001</v>
          </cell>
          <cell r="F453">
            <v>551.86000000000422</v>
          </cell>
          <cell r="G453">
            <v>772.6</v>
          </cell>
        </row>
        <row r="454">
          <cell r="B454">
            <v>450</v>
          </cell>
          <cell r="C454">
            <v>849.67999999999665</v>
          </cell>
          <cell r="D454">
            <v>1189.55</v>
          </cell>
          <cell r="F454">
            <v>553.09000000000424</v>
          </cell>
          <cell r="G454">
            <v>774.33</v>
          </cell>
        </row>
        <row r="455">
          <cell r="B455">
            <v>451</v>
          </cell>
          <cell r="C455">
            <v>851.56999999999664</v>
          </cell>
          <cell r="D455">
            <v>1192.2</v>
          </cell>
          <cell r="F455">
            <v>554.32000000000426</v>
          </cell>
          <cell r="G455">
            <v>776.05</v>
          </cell>
        </row>
        <row r="456">
          <cell r="B456">
            <v>452</v>
          </cell>
          <cell r="C456">
            <v>853.45999999999663</v>
          </cell>
          <cell r="D456">
            <v>1194.8399999999999</v>
          </cell>
          <cell r="F456">
            <v>555.55000000000427</v>
          </cell>
          <cell r="G456">
            <v>777.77</v>
          </cell>
        </row>
        <row r="457">
          <cell r="B457">
            <v>453</v>
          </cell>
          <cell r="C457">
            <v>855.34999999999661</v>
          </cell>
          <cell r="D457">
            <v>1197.49</v>
          </cell>
          <cell r="F457">
            <v>556.78000000000429</v>
          </cell>
          <cell r="G457">
            <v>779.49</v>
          </cell>
        </row>
        <row r="458">
          <cell r="B458">
            <v>454</v>
          </cell>
          <cell r="C458">
            <v>857.2399999999966</v>
          </cell>
          <cell r="D458">
            <v>1200.1400000000001</v>
          </cell>
          <cell r="F458">
            <v>558.01000000000431</v>
          </cell>
          <cell r="G458">
            <v>781.21</v>
          </cell>
        </row>
        <row r="459">
          <cell r="B459">
            <v>455</v>
          </cell>
          <cell r="C459">
            <v>859.12999999999658</v>
          </cell>
          <cell r="D459">
            <v>1202.78</v>
          </cell>
          <cell r="F459">
            <v>559.24000000000433</v>
          </cell>
          <cell r="G459">
            <v>782.94</v>
          </cell>
        </row>
        <row r="460">
          <cell r="B460">
            <v>456</v>
          </cell>
          <cell r="C460">
            <v>861.01999999999657</v>
          </cell>
          <cell r="D460">
            <v>1205.43</v>
          </cell>
          <cell r="F460">
            <v>560.47000000000435</v>
          </cell>
          <cell r="G460">
            <v>784.66</v>
          </cell>
        </row>
        <row r="461">
          <cell r="B461">
            <v>457</v>
          </cell>
          <cell r="C461">
            <v>862.90999999999656</v>
          </cell>
          <cell r="D461">
            <v>1208.07</v>
          </cell>
          <cell r="F461">
            <v>561.70000000000437</v>
          </cell>
          <cell r="G461">
            <v>786.38</v>
          </cell>
        </row>
        <row r="462">
          <cell r="B462">
            <v>458</v>
          </cell>
          <cell r="C462">
            <v>864.79999999999654</v>
          </cell>
          <cell r="D462">
            <v>1210.72</v>
          </cell>
          <cell r="F462">
            <v>562.93000000000438</v>
          </cell>
          <cell r="G462">
            <v>788.1</v>
          </cell>
        </row>
        <row r="463">
          <cell r="B463">
            <v>459</v>
          </cell>
          <cell r="C463">
            <v>866.68999999999653</v>
          </cell>
          <cell r="D463">
            <v>1213.3699999999999</v>
          </cell>
          <cell r="F463">
            <v>564.1600000000044</v>
          </cell>
          <cell r="G463">
            <v>789.82</v>
          </cell>
        </row>
        <row r="464">
          <cell r="B464">
            <v>460</v>
          </cell>
          <cell r="C464">
            <v>868.57999999999652</v>
          </cell>
          <cell r="D464">
            <v>1216.01</v>
          </cell>
          <cell r="F464">
            <v>565.39000000000442</v>
          </cell>
          <cell r="G464">
            <v>791.55</v>
          </cell>
        </row>
        <row r="465">
          <cell r="B465">
            <v>461</v>
          </cell>
          <cell r="C465">
            <v>870.4699999999965</v>
          </cell>
          <cell r="D465">
            <v>1218.6600000000001</v>
          </cell>
          <cell r="F465">
            <v>566.62000000000444</v>
          </cell>
          <cell r="G465">
            <v>793.27</v>
          </cell>
        </row>
        <row r="466">
          <cell r="B466">
            <v>462</v>
          </cell>
          <cell r="C466">
            <v>872.35999999999649</v>
          </cell>
          <cell r="D466">
            <v>1221.3</v>
          </cell>
          <cell r="F466">
            <v>567.85000000000446</v>
          </cell>
          <cell r="G466">
            <v>794.99</v>
          </cell>
        </row>
        <row r="467">
          <cell r="B467">
            <v>463</v>
          </cell>
          <cell r="C467">
            <v>874.24999999999648</v>
          </cell>
          <cell r="D467">
            <v>1223.95</v>
          </cell>
          <cell r="F467">
            <v>569.08000000000447</v>
          </cell>
          <cell r="G467">
            <v>796.71</v>
          </cell>
        </row>
        <row r="468">
          <cell r="B468">
            <v>464</v>
          </cell>
          <cell r="C468">
            <v>876.13999999999646</v>
          </cell>
          <cell r="D468">
            <v>1226.5999999999999</v>
          </cell>
          <cell r="F468">
            <v>570.31000000000449</v>
          </cell>
          <cell r="G468">
            <v>798.43</v>
          </cell>
        </row>
        <row r="469">
          <cell r="B469">
            <v>465</v>
          </cell>
          <cell r="C469">
            <v>878.02999999999645</v>
          </cell>
          <cell r="D469">
            <v>1229.24</v>
          </cell>
          <cell r="F469">
            <v>571.54000000000451</v>
          </cell>
          <cell r="G469">
            <v>800.16</v>
          </cell>
        </row>
        <row r="470">
          <cell r="B470">
            <v>466</v>
          </cell>
          <cell r="C470">
            <v>879.91999999999643</v>
          </cell>
          <cell r="D470">
            <v>1231.8900000000001</v>
          </cell>
          <cell r="F470">
            <v>572.77000000000453</v>
          </cell>
          <cell r="G470">
            <v>801.88</v>
          </cell>
        </row>
        <row r="471">
          <cell r="B471">
            <v>467</v>
          </cell>
          <cell r="C471">
            <v>881.80999999999642</v>
          </cell>
          <cell r="D471">
            <v>1234.53</v>
          </cell>
          <cell r="F471">
            <v>574.00000000000455</v>
          </cell>
          <cell r="G471">
            <v>803.6</v>
          </cell>
        </row>
        <row r="472">
          <cell r="B472">
            <v>468</v>
          </cell>
          <cell r="C472">
            <v>883.69999999999641</v>
          </cell>
          <cell r="D472">
            <v>1237.18</v>
          </cell>
          <cell r="F472">
            <v>575.23000000000457</v>
          </cell>
          <cell r="G472">
            <v>805.32</v>
          </cell>
        </row>
        <row r="473">
          <cell r="B473">
            <v>469</v>
          </cell>
          <cell r="C473">
            <v>885.58999999999639</v>
          </cell>
          <cell r="D473">
            <v>1239.83</v>
          </cell>
          <cell r="F473">
            <v>576.46000000000458</v>
          </cell>
          <cell r="G473">
            <v>807.04</v>
          </cell>
        </row>
        <row r="474">
          <cell r="B474">
            <v>470</v>
          </cell>
          <cell r="C474">
            <v>887.47999999999638</v>
          </cell>
          <cell r="D474">
            <v>1242.47</v>
          </cell>
          <cell r="F474">
            <v>577.6900000000046</v>
          </cell>
          <cell r="G474">
            <v>808.77</v>
          </cell>
        </row>
        <row r="475">
          <cell r="B475">
            <v>471</v>
          </cell>
          <cell r="C475">
            <v>889.36999999999637</v>
          </cell>
          <cell r="D475">
            <v>1245.1199999999999</v>
          </cell>
          <cell r="F475">
            <v>578.92000000000462</v>
          </cell>
          <cell r="G475">
            <v>810.49</v>
          </cell>
        </row>
        <row r="476">
          <cell r="B476">
            <v>472</v>
          </cell>
          <cell r="C476">
            <v>891.25999999999635</v>
          </cell>
          <cell r="D476">
            <v>1247.76</v>
          </cell>
          <cell r="F476">
            <v>580.15000000000464</v>
          </cell>
          <cell r="G476">
            <v>812.21</v>
          </cell>
        </row>
        <row r="477">
          <cell r="B477">
            <v>473</v>
          </cell>
          <cell r="C477">
            <v>893.14999999999634</v>
          </cell>
          <cell r="D477">
            <v>1250.4100000000001</v>
          </cell>
          <cell r="F477">
            <v>581.38000000000466</v>
          </cell>
          <cell r="G477">
            <v>813.93</v>
          </cell>
        </row>
        <row r="478">
          <cell r="B478">
            <v>474</v>
          </cell>
          <cell r="C478">
            <v>895.03999999999633</v>
          </cell>
          <cell r="D478">
            <v>1253.06</v>
          </cell>
          <cell r="F478">
            <v>582.61000000000467</v>
          </cell>
          <cell r="G478">
            <v>815.65</v>
          </cell>
        </row>
        <row r="479">
          <cell r="B479">
            <v>475</v>
          </cell>
          <cell r="C479">
            <v>896.92999999999631</v>
          </cell>
          <cell r="D479">
            <v>1255.7</v>
          </cell>
          <cell r="F479">
            <v>583.84000000000469</v>
          </cell>
          <cell r="G479">
            <v>817.38</v>
          </cell>
        </row>
        <row r="480">
          <cell r="B480">
            <v>476</v>
          </cell>
          <cell r="C480">
            <v>898.8199999999963</v>
          </cell>
          <cell r="D480">
            <v>1258.3499999999999</v>
          </cell>
          <cell r="F480">
            <v>585.07000000000471</v>
          </cell>
          <cell r="G480">
            <v>819.1</v>
          </cell>
        </row>
        <row r="481">
          <cell r="B481">
            <v>477</v>
          </cell>
          <cell r="C481">
            <v>900.70999999999628</v>
          </cell>
          <cell r="D481">
            <v>1260.99</v>
          </cell>
          <cell r="F481">
            <v>586.30000000000473</v>
          </cell>
          <cell r="G481">
            <v>820.82</v>
          </cell>
        </row>
        <row r="482">
          <cell r="B482">
            <v>478</v>
          </cell>
          <cell r="C482">
            <v>902.59999999999627</v>
          </cell>
          <cell r="D482">
            <v>1263.6400000000001</v>
          </cell>
          <cell r="F482">
            <v>587.53000000000475</v>
          </cell>
          <cell r="G482">
            <v>822.54</v>
          </cell>
        </row>
        <row r="483">
          <cell r="B483">
            <v>479</v>
          </cell>
          <cell r="C483">
            <v>904.48999999999626</v>
          </cell>
          <cell r="D483">
            <v>1266.29</v>
          </cell>
          <cell r="F483">
            <v>588.76000000000477</v>
          </cell>
          <cell r="G483">
            <v>824.26</v>
          </cell>
        </row>
        <row r="484">
          <cell r="B484">
            <v>480</v>
          </cell>
          <cell r="C484">
            <v>906.37999999999624</v>
          </cell>
          <cell r="D484">
            <v>1268.93</v>
          </cell>
          <cell r="F484">
            <v>589.99000000000478</v>
          </cell>
          <cell r="G484">
            <v>825.99</v>
          </cell>
        </row>
        <row r="485">
          <cell r="B485">
            <v>481</v>
          </cell>
          <cell r="C485">
            <v>908.26999999999623</v>
          </cell>
          <cell r="D485">
            <v>1271.58</v>
          </cell>
          <cell r="F485">
            <v>591.2200000000048</v>
          </cell>
          <cell r="G485">
            <v>827.71</v>
          </cell>
        </row>
        <row r="486">
          <cell r="B486">
            <v>482</v>
          </cell>
          <cell r="C486">
            <v>910.15999999999622</v>
          </cell>
          <cell r="D486">
            <v>1274.22</v>
          </cell>
          <cell r="F486">
            <v>592.45000000000482</v>
          </cell>
          <cell r="G486">
            <v>829.43</v>
          </cell>
        </row>
        <row r="487">
          <cell r="B487">
            <v>483</v>
          </cell>
          <cell r="C487">
            <v>912.0499999999962</v>
          </cell>
          <cell r="D487">
            <v>1276.8699999999999</v>
          </cell>
          <cell r="F487">
            <v>593.68000000000484</v>
          </cell>
          <cell r="G487">
            <v>831.15</v>
          </cell>
        </row>
        <row r="488">
          <cell r="B488">
            <v>484</v>
          </cell>
          <cell r="C488">
            <v>913.93999999999619</v>
          </cell>
          <cell r="D488">
            <v>1279.52</v>
          </cell>
          <cell r="F488">
            <v>594.91000000000486</v>
          </cell>
          <cell r="G488">
            <v>832.87</v>
          </cell>
        </row>
        <row r="489">
          <cell r="B489">
            <v>485</v>
          </cell>
          <cell r="C489">
            <v>915.82999999999618</v>
          </cell>
          <cell r="D489">
            <v>1282.1600000000001</v>
          </cell>
          <cell r="F489">
            <v>596.14000000000487</v>
          </cell>
          <cell r="G489">
            <v>834.6</v>
          </cell>
        </row>
        <row r="490">
          <cell r="B490">
            <v>486</v>
          </cell>
          <cell r="C490">
            <v>917.71999999999616</v>
          </cell>
          <cell r="D490">
            <v>1284.81</v>
          </cell>
          <cell r="F490">
            <v>597.37000000000489</v>
          </cell>
          <cell r="G490">
            <v>836.32</v>
          </cell>
        </row>
        <row r="491">
          <cell r="B491">
            <v>487</v>
          </cell>
          <cell r="C491">
            <v>919.60999999999615</v>
          </cell>
          <cell r="D491">
            <v>1287.45</v>
          </cell>
          <cell r="F491">
            <v>598.60000000000491</v>
          </cell>
          <cell r="G491">
            <v>838.04</v>
          </cell>
        </row>
        <row r="492">
          <cell r="B492">
            <v>488</v>
          </cell>
          <cell r="C492">
            <v>921.49999999999613</v>
          </cell>
          <cell r="D492">
            <v>1290.0999999999999</v>
          </cell>
          <cell r="F492">
            <v>599.83000000000493</v>
          </cell>
          <cell r="G492">
            <v>839.76</v>
          </cell>
        </row>
        <row r="493">
          <cell r="B493">
            <v>489</v>
          </cell>
          <cell r="C493">
            <v>923.38999999999612</v>
          </cell>
          <cell r="D493">
            <v>1292.75</v>
          </cell>
          <cell r="F493">
            <v>601.06000000000495</v>
          </cell>
          <cell r="G493">
            <v>841.48</v>
          </cell>
        </row>
        <row r="494">
          <cell r="B494">
            <v>490</v>
          </cell>
          <cell r="C494">
            <v>925.27999999999611</v>
          </cell>
          <cell r="D494">
            <v>1295.3900000000001</v>
          </cell>
          <cell r="F494">
            <v>602.29000000000497</v>
          </cell>
          <cell r="G494">
            <v>843.21</v>
          </cell>
        </row>
        <row r="495">
          <cell r="B495">
            <v>491</v>
          </cell>
          <cell r="C495">
            <v>927.16999999999609</v>
          </cell>
          <cell r="D495">
            <v>1298.04</v>
          </cell>
          <cell r="F495">
            <v>603.52000000000498</v>
          </cell>
          <cell r="G495">
            <v>844.93</v>
          </cell>
        </row>
        <row r="496">
          <cell r="B496">
            <v>492</v>
          </cell>
          <cell r="C496">
            <v>929.05999999999608</v>
          </cell>
          <cell r="D496">
            <v>1300.68</v>
          </cell>
          <cell r="F496">
            <v>604.750000000005</v>
          </cell>
          <cell r="G496">
            <v>846.65</v>
          </cell>
        </row>
        <row r="497">
          <cell r="B497">
            <v>493</v>
          </cell>
          <cell r="C497">
            <v>930.94999999999607</v>
          </cell>
          <cell r="D497">
            <v>1303.33</v>
          </cell>
          <cell r="F497">
            <v>605.98000000000502</v>
          </cell>
          <cell r="G497">
            <v>848.37</v>
          </cell>
        </row>
        <row r="498">
          <cell r="B498">
            <v>494</v>
          </cell>
          <cell r="C498">
            <v>932.83999999999605</v>
          </cell>
          <cell r="D498">
            <v>1305.98</v>
          </cell>
          <cell r="F498">
            <v>607.21000000000504</v>
          </cell>
          <cell r="G498">
            <v>850.09</v>
          </cell>
        </row>
        <row r="499">
          <cell r="B499">
            <v>495</v>
          </cell>
          <cell r="C499">
            <v>934.72999999999604</v>
          </cell>
          <cell r="D499">
            <v>1308.6199999999999</v>
          </cell>
          <cell r="F499">
            <v>608.44000000000506</v>
          </cell>
          <cell r="G499">
            <v>851.82</v>
          </cell>
        </row>
        <row r="500">
          <cell r="B500">
            <v>496</v>
          </cell>
          <cell r="C500">
            <v>936.61999999999603</v>
          </cell>
          <cell r="D500">
            <v>1311.27</v>
          </cell>
          <cell r="F500">
            <v>609.67000000000507</v>
          </cell>
          <cell r="G500">
            <v>853.54</v>
          </cell>
        </row>
        <row r="501">
          <cell r="B501">
            <v>497</v>
          </cell>
          <cell r="C501">
            <v>938.50999999999601</v>
          </cell>
          <cell r="D501">
            <v>1313.91</v>
          </cell>
          <cell r="F501">
            <v>610.90000000000509</v>
          </cell>
          <cell r="G501">
            <v>855.26</v>
          </cell>
        </row>
        <row r="502">
          <cell r="B502">
            <v>498</v>
          </cell>
          <cell r="C502">
            <v>940.399999999996</v>
          </cell>
          <cell r="D502">
            <v>1316.56</v>
          </cell>
          <cell r="F502">
            <v>612.13000000000511</v>
          </cell>
          <cell r="G502">
            <v>856.98</v>
          </cell>
        </row>
        <row r="503">
          <cell r="B503">
            <v>499</v>
          </cell>
          <cell r="C503">
            <v>942.28999999999598</v>
          </cell>
          <cell r="D503">
            <v>1319.21</v>
          </cell>
          <cell r="F503">
            <v>613.36000000000513</v>
          </cell>
          <cell r="G503">
            <v>858.7</v>
          </cell>
        </row>
        <row r="504">
          <cell r="B504">
            <v>500</v>
          </cell>
          <cell r="C504">
            <v>944.17999999999597</v>
          </cell>
          <cell r="D504">
            <v>1321.85</v>
          </cell>
          <cell r="F504">
            <v>614.59000000000515</v>
          </cell>
          <cell r="G504">
            <v>860.43</v>
          </cell>
        </row>
        <row r="505">
          <cell r="B505">
            <v>501</v>
          </cell>
          <cell r="C505">
            <v>946.06999999999596</v>
          </cell>
          <cell r="D505">
            <v>1324.5</v>
          </cell>
          <cell r="F505">
            <v>615.82000000000517</v>
          </cell>
          <cell r="G505">
            <v>862.15</v>
          </cell>
        </row>
        <row r="506">
          <cell r="B506">
            <v>502</v>
          </cell>
          <cell r="C506">
            <v>947.95999999999594</v>
          </cell>
          <cell r="D506">
            <v>1327.14</v>
          </cell>
          <cell r="F506">
            <v>617.05000000000518</v>
          </cell>
          <cell r="G506">
            <v>863.87</v>
          </cell>
        </row>
        <row r="507">
          <cell r="B507">
            <v>503</v>
          </cell>
          <cell r="C507">
            <v>949.84999999999593</v>
          </cell>
          <cell r="D507">
            <v>1329.79</v>
          </cell>
          <cell r="F507">
            <v>618.2800000000052</v>
          </cell>
          <cell r="G507">
            <v>865.59</v>
          </cell>
        </row>
        <row r="508">
          <cell r="B508">
            <v>504</v>
          </cell>
          <cell r="C508">
            <v>951.73999999999592</v>
          </cell>
          <cell r="D508">
            <v>1332.44</v>
          </cell>
          <cell r="F508">
            <v>619.51000000000522</v>
          </cell>
          <cell r="G508">
            <v>867.31</v>
          </cell>
        </row>
        <row r="509">
          <cell r="B509">
            <v>505</v>
          </cell>
          <cell r="C509">
            <v>953.6299999999959</v>
          </cell>
          <cell r="D509">
            <v>1335.08</v>
          </cell>
          <cell r="F509">
            <v>620.74000000000524</v>
          </cell>
          <cell r="G509">
            <v>869.04</v>
          </cell>
        </row>
        <row r="510">
          <cell r="B510">
            <v>506</v>
          </cell>
          <cell r="C510">
            <v>955.51999999999589</v>
          </cell>
          <cell r="D510">
            <v>1337.73</v>
          </cell>
          <cell r="F510">
            <v>621.97000000000526</v>
          </cell>
          <cell r="G510">
            <v>870.76</v>
          </cell>
        </row>
        <row r="511">
          <cell r="B511">
            <v>507</v>
          </cell>
          <cell r="C511">
            <v>957.40999999999588</v>
          </cell>
          <cell r="D511">
            <v>1340.37</v>
          </cell>
          <cell r="F511">
            <v>623.20000000000528</v>
          </cell>
          <cell r="G511">
            <v>872.48</v>
          </cell>
        </row>
        <row r="512">
          <cell r="B512">
            <v>508</v>
          </cell>
          <cell r="C512">
            <v>959.29999999999586</v>
          </cell>
          <cell r="D512">
            <v>1343.02</v>
          </cell>
          <cell r="F512">
            <v>624.43000000000529</v>
          </cell>
          <cell r="G512">
            <v>874.2</v>
          </cell>
        </row>
        <row r="513">
          <cell r="B513">
            <v>509</v>
          </cell>
          <cell r="C513">
            <v>961.18999999999585</v>
          </cell>
          <cell r="D513">
            <v>1345.67</v>
          </cell>
          <cell r="F513">
            <v>625.66000000000531</v>
          </cell>
          <cell r="G513">
            <v>875.92</v>
          </cell>
        </row>
        <row r="514">
          <cell r="B514">
            <v>510</v>
          </cell>
          <cell r="C514">
            <v>963.07999999999583</v>
          </cell>
          <cell r="D514">
            <v>1348.31</v>
          </cell>
          <cell r="F514">
            <v>626.89000000000533</v>
          </cell>
          <cell r="G514">
            <v>877.65</v>
          </cell>
        </row>
        <row r="515">
          <cell r="B515">
            <v>511</v>
          </cell>
          <cell r="C515">
            <v>964.96999999999582</v>
          </cell>
          <cell r="D515">
            <v>1350.96</v>
          </cell>
          <cell r="F515">
            <v>628.12000000000535</v>
          </cell>
          <cell r="G515">
            <v>879.37</v>
          </cell>
        </row>
        <row r="516">
          <cell r="B516">
            <v>512</v>
          </cell>
          <cell r="C516">
            <v>966.85999999999581</v>
          </cell>
          <cell r="D516">
            <v>1353.6</v>
          </cell>
          <cell r="F516">
            <v>629.35000000000537</v>
          </cell>
          <cell r="G516">
            <v>881.09</v>
          </cell>
        </row>
        <row r="517">
          <cell r="B517">
            <v>513</v>
          </cell>
          <cell r="C517">
            <v>968.74999999999579</v>
          </cell>
          <cell r="D517">
            <v>1356.25</v>
          </cell>
          <cell r="F517">
            <v>630.58000000000538</v>
          </cell>
          <cell r="G517">
            <v>882.81</v>
          </cell>
        </row>
        <row r="518">
          <cell r="B518">
            <v>514</v>
          </cell>
          <cell r="C518">
            <v>970.63999999999578</v>
          </cell>
          <cell r="D518">
            <v>1358.9</v>
          </cell>
          <cell r="F518">
            <v>631.8100000000054</v>
          </cell>
          <cell r="G518">
            <v>884.53</v>
          </cell>
        </row>
        <row r="519">
          <cell r="B519">
            <v>515</v>
          </cell>
          <cell r="C519">
            <v>972.52999999999577</v>
          </cell>
          <cell r="D519">
            <v>1361.54</v>
          </cell>
          <cell r="F519">
            <v>633.04000000000542</v>
          </cell>
          <cell r="G519">
            <v>886.26</v>
          </cell>
        </row>
        <row r="520">
          <cell r="B520">
            <v>516</v>
          </cell>
          <cell r="C520">
            <v>974.41999999999575</v>
          </cell>
          <cell r="D520">
            <v>1364.19</v>
          </cell>
          <cell r="F520">
            <v>634.27000000000544</v>
          </cell>
          <cell r="G520">
            <v>887.98</v>
          </cell>
        </row>
        <row r="521">
          <cell r="B521">
            <v>517</v>
          </cell>
          <cell r="C521">
            <v>976.30999999999574</v>
          </cell>
          <cell r="D521">
            <v>1366.83</v>
          </cell>
          <cell r="F521">
            <v>635.50000000000546</v>
          </cell>
          <cell r="G521">
            <v>889.7</v>
          </cell>
        </row>
        <row r="522">
          <cell r="B522">
            <v>518</v>
          </cell>
          <cell r="C522">
            <v>978.19999999999573</v>
          </cell>
          <cell r="D522">
            <v>1369.48</v>
          </cell>
          <cell r="F522">
            <v>636.73000000000548</v>
          </cell>
          <cell r="G522">
            <v>891.42</v>
          </cell>
        </row>
        <row r="523">
          <cell r="B523">
            <v>519</v>
          </cell>
          <cell r="C523">
            <v>980.08999999999571</v>
          </cell>
          <cell r="D523">
            <v>1372.13</v>
          </cell>
          <cell r="F523">
            <v>637.96000000000549</v>
          </cell>
          <cell r="G523">
            <v>893.14</v>
          </cell>
        </row>
        <row r="524">
          <cell r="B524">
            <v>520</v>
          </cell>
          <cell r="C524">
            <v>981.9799999999957</v>
          </cell>
          <cell r="D524">
            <v>1374.77</v>
          </cell>
          <cell r="F524">
            <v>639.19000000000551</v>
          </cell>
          <cell r="G524">
            <v>894.87</v>
          </cell>
        </row>
        <row r="525">
          <cell r="B525">
            <v>521</v>
          </cell>
          <cell r="C525">
            <v>983.86999999999568</v>
          </cell>
          <cell r="D525">
            <v>1377.42</v>
          </cell>
          <cell r="F525">
            <v>640.42000000000553</v>
          </cell>
          <cell r="G525">
            <v>896.59</v>
          </cell>
        </row>
        <row r="526">
          <cell r="B526">
            <v>522</v>
          </cell>
          <cell r="C526">
            <v>985.75999999999567</v>
          </cell>
          <cell r="D526">
            <v>1380.06</v>
          </cell>
          <cell r="F526">
            <v>641.65000000000555</v>
          </cell>
          <cell r="G526">
            <v>898.31</v>
          </cell>
        </row>
        <row r="527">
          <cell r="B527">
            <v>523</v>
          </cell>
          <cell r="C527">
            <v>987.64999999999566</v>
          </cell>
          <cell r="D527">
            <v>1382.71</v>
          </cell>
          <cell r="F527">
            <v>642.88000000000557</v>
          </cell>
          <cell r="G527">
            <v>900.03</v>
          </cell>
        </row>
        <row r="528">
          <cell r="B528">
            <v>524</v>
          </cell>
          <cell r="C528">
            <v>989.53999999999564</v>
          </cell>
          <cell r="D528">
            <v>1385.36</v>
          </cell>
          <cell r="F528">
            <v>644.11000000000558</v>
          </cell>
          <cell r="G528">
            <v>901.75</v>
          </cell>
        </row>
        <row r="529">
          <cell r="B529">
            <v>525</v>
          </cell>
          <cell r="C529">
            <v>991.42999999999563</v>
          </cell>
          <cell r="D529">
            <v>1388</v>
          </cell>
          <cell r="F529">
            <v>645.3400000000056</v>
          </cell>
          <cell r="G529">
            <v>903.48</v>
          </cell>
        </row>
        <row r="530">
          <cell r="B530">
            <v>526</v>
          </cell>
          <cell r="C530">
            <v>993.31999999999562</v>
          </cell>
          <cell r="D530">
            <v>1390.65</v>
          </cell>
          <cell r="F530">
            <v>646.57000000000562</v>
          </cell>
          <cell r="G530">
            <v>905.2</v>
          </cell>
        </row>
        <row r="531">
          <cell r="B531">
            <v>527</v>
          </cell>
          <cell r="C531">
            <v>995.2099999999956</v>
          </cell>
          <cell r="D531">
            <v>1393.29</v>
          </cell>
          <cell r="F531">
            <v>647.80000000000564</v>
          </cell>
          <cell r="G531">
            <v>906.92</v>
          </cell>
        </row>
        <row r="532">
          <cell r="B532">
            <v>528</v>
          </cell>
          <cell r="C532">
            <v>997.09999999999559</v>
          </cell>
          <cell r="D532">
            <v>1395.94</v>
          </cell>
          <cell r="F532">
            <v>649.03000000000566</v>
          </cell>
          <cell r="G532">
            <v>908.64</v>
          </cell>
        </row>
        <row r="533">
          <cell r="B533">
            <v>529</v>
          </cell>
          <cell r="C533">
            <v>998.98999999999558</v>
          </cell>
          <cell r="D533">
            <v>1398.59</v>
          </cell>
          <cell r="F533">
            <v>650.26000000000568</v>
          </cell>
          <cell r="G533">
            <v>910.36</v>
          </cell>
        </row>
        <row r="534">
          <cell r="B534">
            <v>530</v>
          </cell>
          <cell r="C534">
            <v>1000.8799999999956</v>
          </cell>
          <cell r="D534">
            <v>1401.23</v>
          </cell>
          <cell r="F534">
            <v>651.49000000000569</v>
          </cell>
          <cell r="G534">
            <v>912.09</v>
          </cell>
        </row>
        <row r="535">
          <cell r="B535">
            <v>531</v>
          </cell>
          <cell r="C535">
            <v>1002.7699999999955</v>
          </cell>
          <cell r="D535">
            <v>1403.88</v>
          </cell>
          <cell r="F535">
            <v>652.72000000000571</v>
          </cell>
          <cell r="G535">
            <v>913.81</v>
          </cell>
        </row>
        <row r="536">
          <cell r="B536">
            <v>532</v>
          </cell>
          <cell r="C536">
            <v>1004.6599999999955</v>
          </cell>
          <cell r="D536">
            <v>1406.52</v>
          </cell>
          <cell r="F536">
            <v>653.95000000000573</v>
          </cell>
          <cell r="G536">
            <v>915.53</v>
          </cell>
        </row>
        <row r="537">
          <cell r="B537">
            <v>533</v>
          </cell>
          <cell r="C537">
            <v>1006.5499999999955</v>
          </cell>
          <cell r="D537">
            <v>1409.17</v>
          </cell>
          <cell r="F537">
            <v>655.18000000000575</v>
          </cell>
          <cell r="G537">
            <v>917.25</v>
          </cell>
        </row>
        <row r="538">
          <cell r="B538">
            <v>534</v>
          </cell>
          <cell r="C538">
            <v>1008.4399999999955</v>
          </cell>
          <cell r="D538">
            <v>1411.82</v>
          </cell>
          <cell r="F538">
            <v>656.41000000000577</v>
          </cell>
          <cell r="G538">
            <v>918.97</v>
          </cell>
        </row>
        <row r="539">
          <cell r="B539">
            <v>535</v>
          </cell>
          <cell r="C539">
            <v>1010.3299999999955</v>
          </cell>
          <cell r="D539">
            <v>1414.46</v>
          </cell>
          <cell r="F539">
            <v>657.64000000000578</v>
          </cell>
          <cell r="G539">
            <v>920.7</v>
          </cell>
        </row>
        <row r="540">
          <cell r="B540">
            <v>536</v>
          </cell>
          <cell r="C540">
            <v>1012.2199999999955</v>
          </cell>
          <cell r="D540">
            <v>1417.11</v>
          </cell>
          <cell r="F540">
            <v>658.8700000000058</v>
          </cell>
          <cell r="G540">
            <v>922.42</v>
          </cell>
        </row>
        <row r="541">
          <cell r="B541">
            <v>537</v>
          </cell>
          <cell r="C541">
            <v>1014.1099999999955</v>
          </cell>
          <cell r="D541">
            <v>1419.75</v>
          </cell>
          <cell r="F541">
            <v>660.10000000000582</v>
          </cell>
          <cell r="G541">
            <v>924.14</v>
          </cell>
        </row>
        <row r="542">
          <cell r="B542">
            <v>538</v>
          </cell>
          <cell r="C542">
            <v>1015.9999999999955</v>
          </cell>
          <cell r="D542">
            <v>1422.4</v>
          </cell>
          <cell r="F542">
            <v>661.33000000000584</v>
          </cell>
          <cell r="G542">
            <v>925.86</v>
          </cell>
        </row>
        <row r="543">
          <cell r="B543">
            <v>539</v>
          </cell>
          <cell r="C543">
            <v>1017.8899999999954</v>
          </cell>
          <cell r="D543">
            <v>1425.05</v>
          </cell>
          <cell r="F543">
            <v>662.56000000000586</v>
          </cell>
          <cell r="G543">
            <v>927.58</v>
          </cell>
        </row>
        <row r="544">
          <cell r="B544">
            <v>540</v>
          </cell>
          <cell r="C544">
            <v>1019.7799999999954</v>
          </cell>
          <cell r="D544">
            <v>1427.69</v>
          </cell>
          <cell r="F544">
            <v>663.79000000000588</v>
          </cell>
          <cell r="G544">
            <v>929.31</v>
          </cell>
        </row>
        <row r="545">
          <cell r="B545">
            <v>541</v>
          </cell>
          <cell r="C545">
            <v>1021.6699999999954</v>
          </cell>
          <cell r="D545">
            <v>1430.34</v>
          </cell>
          <cell r="F545">
            <v>665.02000000000589</v>
          </cell>
          <cell r="G545">
            <v>931.03</v>
          </cell>
        </row>
        <row r="546">
          <cell r="B546">
            <v>542</v>
          </cell>
          <cell r="C546">
            <v>1023.5599999999954</v>
          </cell>
          <cell r="D546">
            <v>1432.98</v>
          </cell>
          <cell r="F546">
            <v>666.25000000000591</v>
          </cell>
          <cell r="G546">
            <v>932.75</v>
          </cell>
        </row>
        <row r="547">
          <cell r="B547">
            <v>543</v>
          </cell>
          <cell r="C547">
            <v>1025.4499999999955</v>
          </cell>
          <cell r="D547">
            <v>1435.63</v>
          </cell>
          <cell r="F547">
            <v>667.48000000000593</v>
          </cell>
          <cell r="G547">
            <v>934.47</v>
          </cell>
        </row>
        <row r="548">
          <cell r="B548">
            <v>544</v>
          </cell>
          <cell r="C548">
            <v>1027.3399999999956</v>
          </cell>
          <cell r="D548">
            <v>1438.28</v>
          </cell>
          <cell r="F548">
            <v>668.71000000000595</v>
          </cell>
          <cell r="G548">
            <v>936.19</v>
          </cell>
        </row>
        <row r="549">
          <cell r="B549">
            <v>545</v>
          </cell>
          <cell r="C549">
            <v>1029.2299999999957</v>
          </cell>
          <cell r="D549">
            <v>1440.92</v>
          </cell>
          <cell r="F549">
            <v>669.94000000000597</v>
          </cell>
          <cell r="G549">
            <v>937.92</v>
          </cell>
        </row>
        <row r="550">
          <cell r="B550">
            <v>546</v>
          </cell>
          <cell r="C550">
            <v>1031.1199999999958</v>
          </cell>
          <cell r="D550">
            <v>1443.57</v>
          </cell>
          <cell r="F550">
            <v>671.17000000000598</v>
          </cell>
          <cell r="G550">
            <v>939.64</v>
          </cell>
        </row>
        <row r="551">
          <cell r="B551">
            <v>547</v>
          </cell>
          <cell r="C551">
            <v>1033.0099999999959</v>
          </cell>
          <cell r="D551">
            <v>1446.21</v>
          </cell>
          <cell r="F551">
            <v>672.400000000006</v>
          </cell>
          <cell r="G551">
            <v>941.36</v>
          </cell>
        </row>
        <row r="552">
          <cell r="B552">
            <v>548</v>
          </cell>
          <cell r="C552">
            <v>1034.899999999996</v>
          </cell>
          <cell r="D552">
            <v>1448.86</v>
          </cell>
          <cell r="F552">
            <v>673.63000000000602</v>
          </cell>
          <cell r="G552">
            <v>943.08</v>
          </cell>
        </row>
        <row r="553">
          <cell r="B553">
            <v>549</v>
          </cell>
          <cell r="C553">
            <v>1036.7899999999961</v>
          </cell>
          <cell r="D553">
            <v>1451.51</v>
          </cell>
          <cell r="F553">
            <v>674.86000000000604</v>
          </cell>
          <cell r="G553">
            <v>944.8</v>
          </cell>
        </row>
        <row r="554">
          <cell r="B554">
            <v>550</v>
          </cell>
          <cell r="C554">
            <v>1038.6799999999962</v>
          </cell>
          <cell r="D554">
            <v>1454.15</v>
          </cell>
          <cell r="F554">
            <v>676.09000000000606</v>
          </cell>
          <cell r="G554">
            <v>946.53</v>
          </cell>
        </row>
        <row r="555">
          <cell r="B555">
            <v>551</v>
          </cell>
          <cell r="C555">
            <v>1040.5699999999963</v>
          </cell>
          <cell r="D555">
            <v>1456.8</v>
          </cell>
          <cell r="F555">
            <v>677.32000000000608</v>
          </cell>
          <cell r="G555">
            <v>948.25</v>
          </cell>
        </row>
        <row r="556">
          <cell r="B556">
            <v>552</v>
          </cell>
          <cell r="C556">
            <v>1042.4599999999964</v>
          </cell>
          <cell r="D556">
            <v>1459.44</v>
          </cell>
          <cell r="F556">
            <v>678.55000000000609</v>
          </cell>
          <cell r="G556">
            <v>949.97</v>
          </cell>
        </row>
        <row r="557">
          <cell r="B557">
            <v>553</v>
          </cell>
          <cell r="C557">
            <v>1044.3499999999965</v>
          </cell>
          <cell r="D557">
            <v>1462.09</v>
          </cell>
          <cell r="F557">
            <v>679.78000000000611</v>
          </cell>
          <cell r="G557">
            <v>951.69</v>
          </cell>
        </row>
        <row r="558">
          <cell r="B558">
            <v>554</v>
          </cell>
          <cell r="C558">
            <v>1046.2399999999966</v>
          </cell>
          <cell r="D558">
            <v>1464.74</v>
          </cell>
          <cell r="F558">
            <v>681.01000000000613</v>
          </cell>
          <cell r="G558">
            <v>953.41</v>
          </cell>
        </row>
        <row r="559">
          <cell r="B559">
            <v>555</v>
          </cell>
          <cell r="C559">
            <v>1048.1299999999967</v>
          </cell>
          <cell r="D559">
            <v>1467.38</v>
          </cell>
          <cell r="F559">
            <v>682.24000000000615</v>
          </cell>
          <cell r="G559">
            <v>955.14</v>
          </cell>
        </row>
        <row r="560">
          <cell r="B560">
            <v>556</v>
          </cell>
          <cell r="C560">
            <v>1050.0199999999968</v>
          </cell>
          <cell r="D560">
            <v>1470.03</v>
          </cell>
          <cell r="F560">
            <v>683.47000000000617</v>
          </cell>
          <cell r="G560">
            <v>956.86</v>
          </cell>
        </row>
        <row r="561">
          <cell r="B561">
            <v>557</v>
          </cell>
          <cell r="C561">
            <v>1051.9099999999969</v>
          </cell>
          <cell r="D561">
            <v>1472.67</v>
          </cell>
          <cell r="F561">
            <v>684.70000000000618</v>
          </cell>
          <cell r="G561">
            <v>958.58</v>
          </cell>
        </row>
        <row r="562">
          <cell r="B562">
            <v>558</v>
          </cell>
          <cell r="C562">
            <v>1053.799999999997</v>
          </cell>
          <cell r="D562">
            <v>1475.32</v>
          </cell>
          <cell r="F562">
            <v>685.9300000000062</v>
          </cell>
          <cell r="G562">
            <v>960.3</v>
          </cell>
        </row>
        <row r="563">
          <cell r="B563">
            <v>559</v>
          </cell>
          <cell r="C563">
            <v>1055.6899999999971</v>
          </cell>
          <cell r="D563">
            <v>1477.97</v>
          </cell>
          <cell r="F563">
            <v>687.16000000000622</v>
          </cell>
          <cell r="G563">
            <v>962.02</v>
          </cell>
        </row>
        <row r="564">
          <cell r="B564">
            <v>560</v>
          </cell>
          <cell r="C564">
            <v>1057.5799999999972</v>
          </cell>
          <cell r="D564">
            <v>1480.61</v>
          </cell>
          <cell r="F564">
            <v>688.39000000000624</v>
          </cell>
          <cell r="G564">
            <v>963.75</v>
          </cell>
        </row>
        <row r="565">
          <cell r="B565">
            <v>561</v>
          </cell>
          <cell r="C565">
            <v>1059.4699999999973</v>
          </cell>
          <cell r="D565">
            <v>1483.26</v>
          </cell>
          <cell r="F565">
            <v>689.62000000000626</v>
          </cell>
          <cell r="G565">
            <v>965.47</v>
          </cell>
        </row>
        <row r="566">
          <cell r="B566">
            <v>562</v>
          </cell>
          <cell r="C566">
            <v>1061.3599999999974</v>
          </cell>
          <cell r="D566">
            <v>1485.9</v>
          </cell>
          <cell r="F566">
            <v>690.85000000000628</v>
          </cell>
          <cell r="G566">
            <v>967.19</v>
          </cell>
        </row>
        <row r="567">
          <cell r="B567">
            <v>563</v>
          </cell>
          <cell r="C567">
            <v>1063.2499999999975</v>
          </cell>
          <cell r="D567">
            <v>1488.55</v>
          </cell>
          <cell r="F567">
            <v>692.08000000000629</v>
          </cell>
          <cell r="G567">
            <v>968.91</v>
          </cell>
        </row>
        <row r="568">
          <cell r="B568">
            <v>564</v>
          </cell>
          <cell r="C568">
            <v>1065.1399999999976</v>
          </cell>
          <cell r="D568">
            <v>1491.2</v>
          </cell>
          <cell r="F568">
            <v>693.31000000000631</v>
          </cell>
          <cell r="G568">
            <v>970.63</v>
          </cell>
        </row>
        <row r="569">
          <cell r="B569">
            <v>565</v>
          </cell>
          <cell r="C569">
            <v>1067.0299999999977</v>
          </cell>
          <cell r="D569">
            <v>1493.84</v>
          </cell>
          <cell r="F569">
            <v>694.54000000000633</v>
          </cell>
          <cell r="G569">
            <v>972.36</v>
          </cell>
        </row>
        <row r="570">
          <cell r="B570">
            <v>566</v>
          </cell>
          <cell r="C570">
            <v>1068.9199999999978</v>
          </cell>
          <cell r="D570">
            <v>1496.49</v>
          </cell>
          <cell r="F570">
            <v>695.77000000000635</v>
          </cell>
          <cell r="G570">
            <v>974.08</v>
          </cell>
        </row>
        <row r="571">
          <cell r="B571">
            <v>567</v>
          </cell>
          <cell r="C571">
            <v>1070.8099999999979</v>
          </cell>
          <cell r="D571">
            <v>1499.13</v>
          </cell>
          <cell r="F571">
            <v>697.00000000000637</v>
          </cell>
          <cell r="G571">
            <v>975.8</v>
          </cell>
        </row>
        <row r="572">
          <cell r="B572">
            <v>568</v>
          </cell>
          <cell r="C572">
            <v>1072.699999999998</v>
          </cell>
          <cell r="D572">
            <v>1501.78</v>
          </cell>
          <cell r="F572">
            <v>698.23000000000638</v>
          </cell>
          <cell r="G572">
            <v>977.52</v>
          </cell>
        </row>
        <row r="573">
          <cell r="B573">
            <v>569</v>
          </cell>
          <cell r="C573">
            <v>1074.5899999999981</v>
          </cell>
          <cell r="D573">
            <v>1504.43</v>
          </cell>
          <cell r="F573">
            <v>699.4600000000064</v>
          </cell>
          <cell r="G573">
            <v>979.24</v>
          </cell>
        </row>
        <row r="574">
          <cell r="B574">
            <v>570</v>
          </cell>
          <cell r="C574">
            <v>1076.4799999999982</v>
          </cell>
          <cell r="D574">
            <v>1507.07</v>
          </cell>
          <cell r="F574">
            <v>700.69000000000642</v>
          </cell>
          <cell r="G574">
            <v>980.97</v>
          </cell>
        </row>
        <row r="575">
          <cell r="B575">
            <v>571</v>
          </cell>
          <cell r="C575">
            <v>1078.3699999999983</v>
          </cell>
          <cell r="D575">
            <v>1509.72</v>
          </cell>
          <cell r="F575">
            <v>701.92000000000644</v>
          </cell>
          <cell r="G575">
            <v>982.69</v>
          </cell>
        </row>
        <row r="576">
          <cell r="B576">
            <v>572</v>
          </cell>
          <cell r="C576">
            <v>1080.2599999999984</v>
          </cell>
          <cell r="D576">
            <v>1512.36</v>
          </cell>
          <cell r="F576">
            <v>703.15000000000646</v>
          </cell>
          <cell r="G576">
            <v>984.41</v>
          </cell>
        </row>
        <row r="577">
          <cell r="B577">
            <v>573</v>
          </cell>
          <cell r="C577">
            <v>1082.1499999999985</v>
          </cell>
          <cell r="D577">
            <v>1515.01</v>
          </cell>
          <cell r="F577">
            <v>704.38000000000648</v>
          </cell>
          <cell r="G577">
            <v>986.13</v>
          </cell>
        </row>
        <row r="578">
          <cell r="B578">
            <v>574</v>
          </cell>
          <cell r="C578">
            <v>1084.0399999999986</v>
          </cell>
          <cell r="D578">
            <v>1517.66</v>
          </cell>
          <cell r="F578">
            <v>705.61000000000649</v>
          </cell>
          <cell r="G578">
            <v>987.85</v>
          </cell>
        </row>
        <row r="579">
          <cell r="B579">
            <v>575</v>
          </cell>
          <cell r="C579">
            <v>1085.9299999999987</v>
          </cell>
          <cell r="D579">
            <v>1520.3</v>
          </cell>
          <cell r="F579">
            <v>706.84000000000651</v>
          </cell>
          <cell r="G579">
            <v>989.58</v>
          </cell>
        </row>
        <row r="580">
          <cell r="B580">
            <v>576</v>
          </cell>
          <cell r="C580">
            <v>1087.8199999999988</v>
          </cell>
          <cell r="D580">
            <v>1522.95</v>
          </cell>
          <cell r="F580">
            <v>708.07000000000653</v>
          </cell>
          <cell r="G580">
            <v>991.3</v>
          </cell>
        </row>
        <row r="581">
          <cell r="B581">
            <v>577</v>
          </cell>
          <cell r="C581">
            <v>1089.7099999999989</v>
          </cell>
          <cell r="D581">
            <v>1525.59</v>
          </cell>
          <cell r="F581">
            <v>709.30000000000655</v>
          </cell>
          <cell r="G581">
            <v>993.02</v>
          </cell>
        </row>
        <row r="582">
          <cell r="B582">
            <v>578</v>
          </cell>
          <cell r="C582">
            <v>1091.599999999999</v>
          </cell>
          <cell r="D582">
            <v>1528.24</v>
          </cell>
          <cell r="F582">
            <v>710.53000000000657</v>
          </cell>
          <cell r="G582">
            <v>994.74</v>
          </cell>
        </row>
        <row r="583">
          <cell r="B583">
            <v>579</v>
          </cell>
          <cell r="C583">
            <v>1093.4899999999991</v>
          </cell>
          <cell r="D583">
            <v>1530.89</v>
          </cell>
          <cell r="F583">
            <v>711.76000000000658</v>
          </cell>
          <cell r="G583">
            <v>996.46</v>
          </cell>
        </row>
        <row r="584">
          <cell r="B584">
            <v>580</v>
          </cell>
          <cell r="C584">
            <v>1095.3799999999992</v>
          </cell>
          <cell r="D584">
            <v>1533.53</v>
          </cell>
          <cell r="F584">
            <v>712.9900000000066</v>
          </cell>
          <cell r="G584">
            <v>998.19</v>
          </cell>
        </row>
        <row r="585">
          <cell r="B585">
            <v>581</v>
          </cell>
          <cell r="C585">
            <v>1097.2699999999993</v>
          </cell>
          <cell r="D585">
            <v>1536.18</v>
          </cell>
          <cell r="F585">
            <v>714.22000000000662</v>
          </cell>
          <cell r="G585">
            <v>999.91</v>
          </cell>
        </row>
        <row r="586">
          <cell r="B586">
            <v>582</v>
          </cell>
          <cell r="C586">
            <v>1099.1599999999994</v>
          </cell>
          <cell r="D586">
            <v>1538.82</v>
          </cell>
          <cell r="F586">
            <v>715.45000000000664</v>
          </cell>
          <cell r="G586">
            <v>1001.63</v>
          </cell>
        </row>
        <row r="587">
          <cell r="B587">
            <v>583</v>
          </cell>
          <cell r="C587">
            <v>1101.0499999999995</v>
          </cell>
          <cell r="D587">
            <v>1541.47</v>
          </cell>
          <cell r="F587">
            <v>716.68000000000666</v>
          </cell>
          <cell r="G587">
            <v>1003.35</v>
          </cell>
        </row>
        <row r="588">
          <cell r="B588">
            <v>584</v>
          </cell>
          <cell r="C588">
            <v>1102.9399999999996</v>
          </cell>
          <cell r="D588">
            <v>1544.12</v>
          </cell>
          <cell r="F588">
            <v>717.91000000000668</v>
          </cell>
          <cell r="G588">
            <v>1005.07</v>
          </cell>
        </row>
        <row r="589">
          <cell r="B589">
            <v>585</v>
          </cell>
          <cell r="C589">
            <v>1104.8299999999997</v>
          </cell>
          <cell r="D589">
            <v>1546.76</v>
          </cell>
          <cell r="F589">
            <v>719.14000000000669</v>
          </cell>
          <cell r="G589">
            <v>1006.8</v>
          </cell>
        </row>
        <row r="590">
          <cell r="B590">
            <v>586</v>
          </cell>
          <cell r="C590">
            <v>1106.7199999999998</v>
          </cell>
          <cell r="D590">
            <v>1549.41</v>
          </cell>
          <cell r="F590">
            <v>720.37000000000671</v>
          </cell>
          <cell r="G590">
            <v>1008.52</v>
          </cell>
        </row>
        <row r="591">
          <cell r="B591">
            <v>587</v>
          </cell>
          <cell r="C591">
            <v>1108.6099999999999</v>
          </cell>
          <cell r="D591">
            <v>1552.05</v>
          </cell>
          <cell r="F591">
            <v>721.60000000000673</v>
          </cell>
          <cell r="G591">
            <v>1010.24</v>
          </cell>
        </row>
        <row r="592">
          <cell r="B592">
            <v>588</v>
          </cell>
          <cell r="C592">
            <v>1110.5</v>
          </cell>
          <cell r="D592">
            <v>1554.7</v>
          </cell>
          <cell r="F592">
            <v>722.83000000000675</v>
          </cell>
          <cell r="G592">
            <v>1011.96</v>
          </cell>
        </row>
        <row r="593">
          <cell r="B593">
            <v>589</v>
          </cell>
          <cell r="C593">
            <v>1112.3900000000001</v>
          </cell>
          <cell r="D593">
            <v>1557.35</v>
          </cell>
          <cell r="F593">
            <v>724.06000000000677</v>
          </cell>
          <cell r="G593">
            <v>1013.68</v>
          </cell>
        </row>
        <row r="594">
          <cell r="B594">
            <v>590</v>
          </cell>
          <cell r="C594">
            <v>1114.2800000000002</v>
          </cell>
          <cell r="D594">
            <v>1559.99</v>
          </cell>
          <cell r="F594">
            <v>725.29000000000678</v>
          </cell>
          <cell r="G594">
            <v>1015.41</v>
          </cell>
        </row>
        <row r="595">
          <cell r="B595">
            <v>591</v>
          </cell>
          <cell r="C595">
            <v>1116.1700000000003</v>
          </cell>
          <cell r="D595">
            <v>1562.64</v>
          </cell>
          <cell r="F595">
            <v>726.5200000000068</v>
          </cell>
          <cell r="G595">
            <v>1017.13</v>
          </cell>
        </row>
        <row r="596">
          <cell r="B596">
            <v>592</v>
          </cell>
          <cell r="C596">
            <v>1118.0600000000004</v>
          </cell>
          <cell r="D596">
            <v>1565.28</v>
          </cell>
          <cell r="F596">
            <v>727.75000000000682</v>
          </cell>
          <cell r="G596">
            <v>1018.85</v>
          </cell>
        </row>
        <row r="597">
          <cell r="B597">
            <v>593</v>
          </cell>
          <cell r="C597">
            <v>1119.9500000000005</v>
          </cell>
          <cell r="D597">
            <v>1567.93</v>
          </cell>
          <cell r="F597">
            <v>728.98000000000684</v>
          </cell>
          <cell r="G597">
            <v>1020.57</v>
          </cell>
        </row>
        <row r="598">
          <cell r="B598">
            <v>594</v>
          </cell>
          <cell r="C598">
            <v>1121.8400000000006</v>
          </cell>
          <cell r="D598">
            <v>1570.58</v>
          </cell>
          <cell r="F598">
            <v>730.21000000000686</v>
          </cell>
          <cell r="G598">
            <v>1022.29</v>
          </cell>
        </row>
        <row r="599">
          <cell r="B599">
            <v>595</v>
          </cell>
          <cell r="C599">
            <v>1123.7300000000007</v>
          </cell>
          <cell r="D599">
            <v>1573.22</v>
          </cell>
          <cell r="F599">
            <v>731.44000000000688</v>
          </cell>
          <cell r="G599">
            <v>1024.02</v>
          </cell>
        </row>
        <row r="600">
          <cell r="B600">
            <v>596</v>
          </cell>
          <cell r="C600">
            <v>1125.6200000000008</v>
          </cell>
          <cell r="D600">
            <v>1575.87</v>
          </cell>
          <cell r="F600">
            <v>732.67000000000689</v>
          </cell>
          <cell r="G600">
            <v>1025.74</v>
          </cell>
        </row>
        <row r="601">
          <cell r="B601">
            <v>597</v>
          </cell>
          <cell r="C601">
            <v>1127.5100000000009</v>
          </cell>
          <cell r="D601">
            <v>1578.51</v>
          </cell>
          <cell r="F601">
            <v>733.90000000000691</v>
          </cell>
          <cell r="G601">
            <v>1027.46</v>
          </cell>
        </row>
        <row r="602">
          <cell r="B602">
            <v>598</v>
          </cell>
          <cell r="C602">
            <v>1129.400000000001</v>
          </cell>
          <cell r="D602">
            <v>1581.16</v>
          </cell>
          <cell r="F602">
            <v>735.13000000000693</v>
          </cell>
          <cell r="G602">
            <v>1029.18</v>
          </cell>
        </row>
        <row r="603">
          <cell r="B603">
            <v>599</v>
          </cell>
          <cell r="C603">
            <v>1131.2900000000011</v>
          </cell>
          <cell r="D603">
            <v>1583.81</v>
          </cell>
          <cell r="F603">
            <v>736.36000000000695</v>
          </cell>
          <cell r="G603">
            <v>1030.9000000000001</v>
          </cell>
        </row>
        <row r="604">
          <cell r="B604">
            <v>600</v>
          </cell>
          <cell r="C604">
            <v>1133.1800000000012</v>
          </cell>
          <cell r="D604">
            <v>1586.45</v>
          </cell>
          <cell r="F604">
            <v>737.59000000000697</v>
          </cell>
          <cell r="G604">
            <v>1032.6300000000001</v>
          </cell>
        </row>
        <row r="605">
          <cell r="B605">
            <v>601</v>
          </cell>
          <cell r="C605">
            <v>1135.0700000000013</v>
          </cell>
          <cell r="D605">
            <v>1589.1</v>
          </cell>
          <cell r="F605">
            <v>738.82000000000698</v>
          </cell>
          <cell r="G605">
            <v>1034.3499999999999</v>
          </cell>
        </row>
        <row r="606">
          <cell r="B606">
            <v>602</v>
          </cell>
          <cell r="C606">
            <v>1136.9600000000014</v>
          </cell>
          <cell r="D606">
            <v>1591.74</v>
          </cell>
          <cell r="F606">
            <v>740.050000000007</v>
          </cell>
          <cell r="G606">
            <v>1036.07</v>
          </cell>
        </row>
        <row r="607">
          <cell r="B607">
            <v>603</v>
          </cell>
          <cell r="C607">
            <v>1138.8500000000015</v>
          </cell>
          <cell r="D607">
            <v>1594.39</v>
          </cell>
          <cell r="F607">
            <v>741.28000000000702</v>
          </cell>
          <cell r="G607">
            <v>1037.79</v>
          </cell>
        </row>
        <row r="608">
          <cell r="B608">
            <v>604</v>
          </cell>
          <cell r="C608">
            <v>1140.7400000000016</v>
          </cell>
          <cell r="D608">
            <v>1597.04</v>
          </cell>
          <cell r="F608">
            <v>742.51000000000704</v>
          </cell>
          <cell r="G608">
            <v>1039.51</v>
          </cell>
        </row>
        <row r="609">
          <cell r="B609">
            <v>605</v>
          </cell>
          <cell r="C609">
            <v>1142.6300000000017</v>
          </cell>
          <cell r="D609">
            <v>1599.68</v>
          </cell>
          <cell r="F609">
            <v>743.74000000000706</v>
          </cell>
          <cell r="G609">
            <v>1041.24</v>
          </cell>
        </row>
        <row r="610">
          <cell r="B610">
            <v>606</v>
          </cell>
          <cell r="C610">
            <v>1144.5200000000018</v>
          </cell>
          <cell r="D610">
            <v>1602.33</v>
          </cell>
          <cell r="F610">
            <v>744.97000000000708</v>
          </cell>
          <cell r="G610">
            <v>1042.96</v>
          </cell>
        </row>
        <row r="611">
          <cell r="B611">
            <v>607</v>
          </cell>
          <cell r="C611">
            <v>1146.4100000000019</v>
          </cell>
          <cell r="D611">
            <v>1604.97</v>
          </cell>
          <cell r="F611">
            <v>746.20000000000709</v>
          </cell>
          <cell r="G611">
            <v>1044.68</v>
          </cell>
        </row>
        <row r="612">
          <cell r="B612">
            <v>608</v>
          </cell>
          <cell r="C612">
            <v>1148.300000000002</v>
          </cell>
          <cell r="D612">
            <v>1607.62</v>
          </cell>
          <cell r="F612">
            <v>747.43000000000711</v>
          </cell>
          <cell r="G612">
            <v>1046.4000000000001</v>
          </cell>
        </row>
        <row r="613">
          <cell r="B613">
            <v>609</v>
          </cell>
          <cell r="C613">
            <v>1150.1900000000021</v>
          </cell>
          <cell r="D613">
            <v>1610.27</v>
          </cell>
          <cell r="F613">
            <v>748.66000000000713</v>
          </cell>
          <cell r="G613">
            <v>1048.1199999999999</v>
          </cell>
        </row>
        <row r="614">
          <cell r="B614">
            <v>610</v>
          </cell>
          <cell r="C614">
            <v>1152.0800000000022</v>
          </cell>
          <cell r="D614">
            <v>1612.91</v>
          </cell>
          <cell r="F614">
            <v>749.89000000000715</v>
          </cell>
          <cell r="G614">
            <v>1049.8499999999999</v>
          </cell>
        </row>
        <row r="615">
          <cell r="B615">
            <v>611</v>
          </cell>
          <cell r="C615">
            <v>1153.9700000000023</v>
          </cell>
          <cell r="D615">
            <v>1615.56</v>
          </cell>
          <cell r="F615">
            <v>751.12000000000717</v>
          </cell>
          <cell r="G615">
            <v>1051.57</v>
          </cell>
        </row>
        <row r="616">
          <cell r="B616">
            <v>612</v>
          </cell>
          <cell r="C616">
            <v>1155.8600000000024</v>
          </cell>
          <cell r="D616">
            <v>1618.2</v>
          </cell>
          <cell r="F616">
            <v>752.35000000000719</v>
          </cell>
          <cell r="G616">
            <v>1053.29</v>
          </cell>
        </row>
        <row r="617">
          <cell r="B617">
            <v>613</v>
          </cell>
          <cell r="C617">
            <v>1157.7500000000025</v>
          </cell>
          <cell r="D617">
            <v>1620.85</v>
          </cell>
          <cell r="F617">
            <v>753.5800000000072</v>
          </cell>
          <cell r="G617">
            <v>1055.01</v>
          </cell>
        </row>
        <row r="618">
          <cell r="B618">
            <v>614</v>
          </cell>
          <cell r="C618">
            <v>1159.6400000000026</v>
          </cell>
          <cell r="D618">
            <v>1623.5</v>
          </cell>
          <cell r="F618">
            <v>754.81000000000722</v>
          </cell>
          <cell r="G618">
            <v>1056.73</v>
          </cell>
        </row>
        <row r="619">
          <cell r="B619">
            <v>615</v>
          </cell>
          <cell r="C619">
            <v>1161.5300000000027</v>
          </cell>
          <cell r="D619">
            <v>1626.14</v>
          </cell>
          <cell r="F619">
            <v>756.04000000000724</v>
          </cell>
          <cell r="G619">
            <v>1058.46</v>
          </cell>
        </row>
        <row r="620">
          <cell r="B620">
            <v>616</v>
          </cell>
          <cell r="C620">
            <v>1163.4200000000028</v>
          </cell>
          <cell r="D620">
            <v>1628.79</v>
          </cell>
          <cell r="F620">
            <v>757.27000000000726</v>
          </cell>
          <cell r="G620">
            <v>1060.18</v>
          </cell>
        </row>
        <row r="621">
          <cell r="B621">
            <v>617</v>
          </cell>
          <cell r="C621">
            <v>1165.3100000000029</v>
          </cell>
          <cell r="D621">
            <v>1631.43</v>
          </cell>
          <cell r="F621">
            <v>758.50000000000728</v>
          </cell>
          <cell r="G621">
            <v>1061.9000000000001</v>
          </cell>
        </row>
        <row r="622">
          <cell r="B622">
            <v>618</v>
          </cell>
          <cell r="C622">
            <v>1167.200000000003</v>
          </cell>
          <cell r="D622">
            <v>1634.08</v>
          </cell>
          <cell r="F622">
            <v>759.73000000000729</v>
          </cell>
          <cell r="G622">
            <v>1063.6199999999999</v>
          </cell>
        </row>
        <row r="623">
          <cell r="B623">
            <v>619</v>
          </cell>
          <cell r="C623">
            <v>1169.0900000000031</v>
          </cell>
          <cell r="D623">
            <v>1636.73</v>
          </cell>
          <cell r="F623">
            <v>760.96000000000731</v>
          </cell>
          <cell r="G623">
            <v>1065.3399999999999</v>
          </cell>
        </row>
        <row r="624">
          <cell r="B624">
            <v>620</v>
          </cell>
          <cell r="C624">
            <v>1170.9800000000032</v>
          </cell>
          <cell r="D624">
            <v>1639.37</v>
          </cell>
          <cell r="F624">
            <v>762.19000000000733</v>
          </cell>
          <cell r="G624">
            <v>1067.07</v>
          </cell>
        </row>
        <row r="625">
          <cell r="B625">
            <v>621</v>
          </cell>
          <cell r="C625">
            <v>1172.8700000000033</v>
          </cell>
          <cell r="D625">
            <v>1642.02</v>
          </cell>
          <cell r="F625">
            <v>763.42000000000735</v>
          </cell>
          <cell r="G625">
            <v>1068.79</v>
          </cell>
        </row>
        <row r="626">
          <cell r="B626">
            <v>622</v>
          </cell>
          <cell r="C626">
            <v>1174.7600000000034</v>
          </cell>
          <cell r="D626">
            <v>1644.66</v>
          </cell>
          <cell r="F626">
            <v>764.65000000000737</v>
          </cell>
          <cell r="G626">
            <v>1070.51</v>
          </cell>
        </row>
        <row r="627">
          <cell r="B627">
            <v>623</v>
          </cell>
          <cell r="C627">
            <v>1176.6500000000035</v>
          </cell>
          <cell r="D627">
            <v>1647.31</v>
          </cell>
          <cell r="F627">
            <v>765.88000000000739</v>
          </cell>
          <cell r="G627">
            <v>1072.23</v>
          </cell>
        </row>
        <row r="628">
          <cell r="B628">
            <v>624</v>
          </cell>
          <cell r="C628">
            <v>1178.5400000000036</v>
          </cell>
          <cell r="D628">
            <v>1649.96</v>
          </cell>
          <cell r="F628">
            <v>767.1100000000074</v>
          </cell>
          <cell r="G628">
            <v>1073.95</v>
          </cell>
        </row>
        <row r="629">
          <cell r="B629">
            <v>625</v>
          </cell>
          <cell r="C629">
            <v>1180.4300000000037</v>
          </cell>
          <cell r="D629">
            <v>1652.6</v>
          </cell>
          <cell r="F629">
            <v>768.34000000000742</v>
          </cell>
          <cell r="G629">
            <v>1075.68</v>
          </cell>
        </row>
        <row r="630">
          <cell r="B630">
            <v>626</v>
          </cell>
          <cell r="C630">
            <v>1182.3200000000038</v>
          </cell>
          <cell r="D630">
            <v>1655.25</v>
          </cell>
          <cell r="F630">
            <v>769.57000000000744</v>
          </cell>
          <cell r="G630">
            <v>1077.4000000000001</v>
          </cell>
        </row>
        <row r="631">
          <cell r="B631">
            <v>627</v>
          </cell>
          <cell r="C631">
            <v>1184.2100000000039</v>
          </cell>
          <cell r="D631">
            <v>1657.89</v>
          </cell>
          <cell r="F631">
            <v>770.80000000000746</v>
          </cell>
          <cell r="G631">
            <v>1079.1199999999999</v>
          </cell>
        </row>
        <row r="632">
          <cell r="B632">
            <v>628</v>
          </cell>
          <cell r="C632">
            <v>1186.100000000004</v>
          </cell>
          <cell r="D632">
            <v>1660.54</v>
          </cell>
          <cell r="F632">
            <v>772.03000000000748</v>
          </cell>
          <cell r="G632">
            <v>1080.8399999999999</v>
          </cell>
        </row>
        <row r="633">
          <cell r="B633">
            <v>629</v>
          </cell>
          <cell r="C633">
            <v>1187.9900000000041</v>
          </cell>
          <cell r="D633">
            <v>1663.19</v>
          </cell>
          <cell r="F633">
            <v>773.26000000000749</v>
          </cell>
          <cell r="G633">
            <v>1082.56</v>
          </cell>
        </row>
        <row r="634">
          <cell r="B634">
            <v>630</v>
          </cell>
          <cell r="C634">
            <v>1189.8800000000042</v>
          </cell>
          <cell r="D634">
            <v>1665.83</v>
          </cell>
          <cell r="F634">
            <v>774.49000000000751</v>
          </cell>
          <cell r="G634">
            <v>1084.29</v>
          </cell>
        </row>
        <row r="635">
          <cell r="B635">
            <v>631</v>
          </cell>
          <cell r="C635">
            <v>1191.7700000000043</v>
          </cell>
          <cell r="D635">
            <v>1668.48</v>
          </cell>
          <cell r="F635">
            <v>775.72000000000753</v>
          </cell>
          <cell r="G635">
            <v>1086.01</v>
          </cell>
        </row>
        <row r="636">
          <cell r="B636">
            <v>632</v>
          </cell>
          <cell r="C636">
            <v>1193.6600000000044</v>
          </cell>
          <cell r="D636">
            <v>1671.12</v>
          </cell>
          <cell r="F636">
            <v>776.95000000000755</v>
          </cell>
          <cell r="G636">
            <v>1087.73</v>
          </cell>
        </row>
        <row r="637">
          <cell r="B637">
            <v>633</v>
          </cell>
          <cell r="C637">
            <v>1195.5500000000045</v>
          </cell>
          <cell r="D637">
            <v>1673.77</v>
          </cell>
          <cell r="F637">
            <v>778.18000000000757</v>
          </cell>
          <cell r="G637">
            <v>1089.45</v>
          </cell>
        </row>
        <row r="638">
          <cell r="B638">
            <v>634</v>
          </cell>
          <cell r="C638">
            <v>1197.4400000000046</v>
          </cell>
          <cell r="D638">
            <v>1676.42</v>
          </cell>
          <cell r="F638">
            <v>779.41000000000759</v>
          </cell>
          <cell r="G638">
            <v>1091.17</v>
          </cell>
        </row>
        <row r="639">
          <cell r="B639">
            <v>635</v>
          </cell>
          <cell r="C639">
            <v>1199.3300000000047</v>
          </cell>
          <cell r="D639">
            <v>1679.06</v>
          </cell>
          <cell r="F639">
            <v>780.6400000000076</v>
          </cell>
          <cell r="G639">
            <v>1092.9000000000001</v>
          </cell>
        </row>
        <row r="640">
          <cell r="B640">
            <v>636</v>
          </cell>
          <cell r="C640">
            <v>1201.2200000000048</v>
          </cell>
          <cell r="D640">
            <v>1681.71</v>
          </cell>
          <cell r="F640">
            <v>781.87000000000762</v>
          </cell>
          <cell r="G640">
            <v>1094.6199999999999</v>
          </cell>
        </row>
        <row r="641">
          <cell r="B641">
            <v>637</v>
          </cell>
          <cell r="C641">
            <v>1203.1100000000049</v>
          </cell>
          <cell r="D641">
            <v>1684.35</v>
          </cell>
          <cell r="F641">
            <v>783.10000000000764</v>
          </cell>
          <cell r="G641">
            <v>1096.3399999999999</v>
          </cell>
        </row>
        <row r="642">
          <cell r="B642">
            <v>638</v>
          </cell>
          <cell r="C642">
            <v>1205.000000000005</v>
          </cell>
          <cell r="D642">
            <v>1687</v>
          </cell>
          <cell r="F642">
            <v>784.33000000000766</v>
          </cell>
          <cell r="G642">
            <v>1098.06</v>
          </cell>
        </row>
        <row r="643">
          <cell r="B643">
            <v>639</v>
          </cell>
          <cell r="C643">
            <v>1206.8900000000051</v>
          </cell>
          <cell r="D643">
            <v>1689.65</v>
          </cell>
          <cell r="F643">
            <v>785.56000000000768</v>
          </cell>
          <cell r="G643">
            <v>1099.78</v>
          </cell>
        </row>
        <row r="644">
          <cell r="B644">
            <v>640</v>
          </cell>
          <cell r="C644">
            <v>1208.7800000000052</v>
          </cell>
          <cell r="D644">
            <v>1692.29</v>
          </cell>
          <cell r="F644">
            <v>786.79000000000769</v>
          </cell>
          <cell r="G644">
            <v>1101.51</v>
          </cell>
        </row>
        <row r="645">
          <cell r="B645">
            <v>641</v>
          </cell>
          <cell r="C645">
            <v>1210.6700000000053</v>
          </cell>
          <cell r="D645">
            <v>1694.94</v>
          </cell>
          <cell r="F645">
            <v>788.02000000000771</v>
          </cell>
          <cell r="G645">
            <v>1103.23</v>
          </cell>
        </row>
        <row r="646">
          <cell r="B646">
            <v>642</v>
          </cell>
          <cell r="C646">
            <v>1212.5600000000054</v>
          </cell>
          <cell r="D646">
            <v>1697.58</v>
          </cell>
          <cell r="F646">
            <v>789.25000000000773</v>
          </cell>
          <cell r="G646">
            <v>1104.95</v>
          </cell>
        </row>
        <row r="647">
          <cell r="B647">
            <v>643</v>
          </cell>
          <cell r="C647">
            <v>1214.4500000000055</v>
          </cell>
          <cell r="D647">
            <v>1700.23</v>
          </cell>
          <cell r="F647">
            <v>790.48000000000775</v>
          </cell>
          <cell r="G647">
            <v>1106.67</v>
          </cell>
        </row>
        <row r="648">
          <cell r="B648">
            <v>644</v>
          </cell>
          <cell r="C648">
            <v>1216.3400000000056</v>
          </cell>
          <cell r="D648">
            <v>1702.88</v>
          </cell>
          <cell r="F648">
            <v>791.71000000000777</v>
          </cell>
          <cell r="G648">
            <v>1108.3900000000001</v>
          </cell>
        </row>
        <row r="649">
          <cell r="B649">
            <v>645</v>
          </cell>
          <cell r="C649">
            <v>1218.2300000000057</v>
          </cell>
          <cell r="D649">
            <v>1705.52</v>
          </cell>
          <cell r="F649">
            <v>792.94000000000779</v>
          </cell>
          <cell r="G649">
            <v>1110.1199999999999</v>
          </cell>
        </row>
        <row r="650">
          <cell r="B650">
            <v>646</v>
          </cell>
          <cell r="C650">
            <v>1220.1200000000058</v>
          </cell>
          <cell r="D650">
            <v>1708.17</v>
          </cell>
          <cell r="F650">
            <v>794.1700000000078</v>
          </cell>
          <cell r="G650">
            <v>1111.8399999999999</v>
          </cell>
        </row>
        <row r="651">
          <cell r="B651">
            <v>647</v>
          </cell>
          <cell r="C651">
            <v>1222.0100000000059</v>
          </cell>
          <cell r="D651">
            <v>1710.81</v>
          </cell>
          <cell r="F651">
            <v>795.40000000000782</v>
          </cell>
          <cell r="G651">
            <v>1113.56</v>
          </cell>
        </row>
        <row r="652">
          <cell r="B652">
            <v>648</v>
          </cell>
          <cell r="C652">
            <v>1223.900000000006</v>
          </cell>
          <cell r="D652">
            <v>1713.46</v>
          </cell>
          <cell r="F652">
            <v>796.63000000000784</v>
          </cell>
          <cell r="G652">
            <v>1115.28</v>
          </cell>
        </row>
        <row r="653">
          <cell r="B653">
            <v>649</v>
          </cell>
          <cell r="C653">
            <v>1225.7900000000061</v>
          </cell>
          <cell r="D653">
            <v>1716.11</v>
          </cell>
          <cell r="F653">
            <v>797.86000000000786</v>
          </cell>
          <cell r="G653">
            <v>1117</v>
          </cell>
        </row>
        <row r="654">
          <cell r="B654">
            <v>650</v>
          </cell>
          <cell r="C654">
            <v>1227.6800000000062</v>
          </cell>
          <cell r="D654">
            <v>1718.75</v>
          </cell>
          <cell r="F654">
            <v>799.09000000000788</v>
          </cell>
          <cell r="G654">
            <v>1118.73</v>
          </cell>
        </row>
        <row r="655">
          <cell r="B655">
            <v>651</v>
          </cell>
          <cell r="C655">
            <v>1229.5700000000063</v>
          </cell>
          <cell r="D655">
            <v>1721.4</v>
          </cell>
          <cell r="F655">
            <v>800.32000000000789</v>
          </cell>
          <cell r="G655">
            <v>1120.45</v>
          </cell>
        </row>
        <row r="656">
          <cell r="B656">
            <v>652</v>
          </cell>
          <cell r="C656">
            <v>1231.4600000000064</v>
          </cell>
          <cell r="D656">
            <v>1724.04</v>
          </cell>
          <cell r="F656">
            <v>801.55000000000791</v>
          </cell>
          <cell r="G656">
            <v>1122.17</v>
          </cell>
        </row>
        <row r="657">
          <cell r="B657">
            <v>653</v>
          </cell>
          <cell r="C657">
            <v>1233.3500000000065</v>
          </cell>
          <cell r="D657">
            <v>1726.69</v>
          </cell>
          <cell r="F657">
            <v>802.78000000000793</v>
          </cell>
          <cell r="G657">
            <v>1123.8900000000001</v>
          </cell>
        </row>
        <row r="658">
          <cell r="B658">
            <v>654</v>
          </cell>
          <cell r="C658">
            <v>1235.2400000000066</v>
          </cell>
          <cell r="D658">
            <v>1729.34</v>
          </cell>
          <cell r="F658">
            <v>804.01000000000795</v>
          </cell>
          <cell r="G658">
            <v>1125.6099999999999</v>
          </cell>
        </row>
        <row r="659">
          <cell r="B659">
            <v>655</v>
          </cell>
          <cell r="C659">
            <v>1237.1300000000067</v>
          </cell>
          <cell r="D659">
            <v>1731.98</v>
          </cell>
          <cell r="F659">
            <v>805.24000000000797</v>
          </cell>
          <cell r="G659">
            <v>1127.3399999999999</v>
          </cell>
        </row>
        <row r="660">
          <cell r="B660">
            <v>656</v>
          </cell>
          <cell r="C660">
            <v>1239.0200000000068</v>
          </cell>
          <cell r="D660">
            <v>1734.63</v>
          </cell>
          <cell r="F660">
            <v>806.47000000000799</v>
          </cell>
          <cell r="G660">
            <v>1129.06</v>
          </cell>
        </row>
        <row r="661">
          <cell r="B661">
            <v>657</v>
          </cell>
          <cell r="C661">
            <v>1240.9100000000069</v>
          </cell>
          <cell r="D661">
            <v>1737.27</v>
          </cell>
          <cell r="F661">
            <v>807.700000000008</v>
          </cell>
          <cell r="G661">
            <v>1130.78</v>
          </cell>
        </row>
        <row r="662">
          <cell r="B662">
            <v>658</v>
          </cell>
          <cell r="C662">
            <v>1242.800000000007</v>
          </cell>
          <cell r="D662">
            <v>1739.92</v>
          </cell>
          <cell r="F662">
            <v>808.93000000000802</v>
          </cell>
          <cell r="G662">
            <v>1132.5</v>
          </cell>
        </row>
        <row r="663">
          <cell r="B663">
            <v>659</v>
          </cell>
          <cell r="C663">
            <v>1244.6900000000071</v>
          </cell>
          <cell r="D663">
            <v>1742.57</v>
          </cell>
          <cell r="F663">
            <v>810.16000000000804</v>
          </cell>
          <cell r="G663">
            <v>1134.22</v>
          </cell>
        </row>
        <row r="664">
          <cell r="B664">
            <v>660</v>
          </cell>
          <cell r="C664">
            <v>1246.5800000000072</v>
          </cell>
          <cell r="D664">
            <v>1745.21</v>
          </cell>
          <cell r="F664">
            <v>811.39000000000806</v>
          </cell>
          <cell r="G664">
            <v>1135.95</v>
          </cell>
        </row>
        <row r="665">
          <cell r="B665">
            <v>661</v>
          </cell>
          <cell r="C665">
            <v>1248.4700000000073</v>
          </cell>
          <cell r="D665">
            <v>1747.86</v>
          </cell>
          <cell r="F665">
            <v>812.62000000000808</v>
          </cell>
          <cell r="G665">
            <v>1137.67</v>
          </cell>
        </row>
        <row r="666">
          <cell r="B666">
            <v>662</v>
          </cell>
          <cell r="C666">
            <v>1250.3600000000074</v>
          </cell>
          <cell r="D666">
            <v>1750.5</v>
          </cell>
          <cell r="F666">
            <v>813.85000000000809</v>
          </cell>
          <cell r="G666">
            <v>1139.3900000000001</v>
          </cell>
        </row>
        <row r="667">
          <cell r="B667">
            <v>663</v>
          </cell>
          <cell r="C667">
            <v>1252.2500000000075</v>
          </cell>
          <cell r="D667">
            <v>1753.15</v>
          </cell>
          <cell r="F667">
            <v>815.08000000000811</v>
          </cell>
          <cell r="G667">
            <v>1141.1099999999999</v>
          </cell>
        </row>
        <row r="668">
          <cell r="B668">
            <v>664</v>
          </cell>
          <cell r="C668">
            <v>1254.1400000000076</v>
          </cell>
          <cell r="D668">
            <v>1755.8</v>
          </cell>
          <cell r="F668">
            <v>816.31000000000813</v>
          </cell>
          <cell r="G668">
            <v>1142.83</v>
          </cell>
        </row>
        <row r="669">
          <cell r="B669">
            <v>665</v>
          </cell>
          <cell r="C669">
            <v>1256.0300000000077</v>
          </cell>
          <cell r="D669">
            <v>1758.44</v>
          </cell>
          <cell r="F669">
            <v>817.54000000000815</v>
          </cell>
          <cell r="G669">
            <v>1144.56</v>
          </cell>
        </row>
        <row r="670">
          <cell r="B670">
            <v>666</v>
          </cell>
          <cell r="C670">
            <v>1257.9200000000078</v>
          </cell>
          <cell r="D670">
            <v>1761.09</v>
          </cell>
          <cell r="F670">
            <v>818.77000000000817</v>
          </cell>
          <cell r="G670">
            <v>1146.28</v>
          </cell>
        </row>
        <row r="671">
          <cell r="B671">
            <v>667</v>
          </cell>
          <cell r="C671">
            <v>1259.8100000000079</v>
          </cell>
          <cell r="D671">
            <v>1763.73</v>
          </cell>
          <cell r="F671">
            <v>820.00000000000819</v>
          </cell>
          <cell r="G671">
            <v>1148</v>
          </cell>
        </row>
        <row r="672">
          <cell r="B672">
            <v>668</v>
          </cell>
          <cell r="C672">
            <v>1261.700000000008</v>
          </cell>
          <cell r="D672">
            <v>1766.38</v>
          </cell>
          <cell r="F672">
            <v>821.2300000000082</v>
          </cell>
          <cell r="G672">
            <v>1149.72</v>
          </cell>
        </row>
        <row r="673">
          <cell r="B673">
            <v>669</v>
          </cell>
          <cell r="C673">
            <v>1263.5900000000081</v>
          </cell>
          <cell r="D673">
            <v>1769.03</v>
          </cell>
          <cell r="F673">
            <v>822.46000000000822</v>
          </cell>
          <cell r="G673">
            <v>1151.44</v>
          </cell>
        </row>
        <row r="674">
          <cell r="B674">
            <v>670</v>
          </cell>
          <cell r="C674">
            <v>1265.4800000000082</v>
          </cell>
          <cell r="D674">
            <v>1771.67</v>
          </cell>
          <cell r="F674">
            <v>823.69000000000824</v>
          </cell>
          <cell r="G674">
            <v>1153.17</v>
          </cell>
        </row>
        <row r="675">
          <cell r="B675">
            <v>671</v>
          </cell>
          <cell r="C675">
            <v>1267.3700000000083</v>
          </cell>
          <cell r="D675">
            <v>1774.32</v>
          </cell>
          <cell r="F675">
            <v>824.92000000000826</v>
          </cell>
          <cell r="G675">
            <v>1154.8900000000001</v>
          </cell>
        </row>
        <row r="676">
          <cell r="B676">
            <v>672</v>
          </cell>
          <cell r="C676">
            <v>1269.2600000000084</v>
          </cell>
          <cell r="D676">
            <v>1776.96</v>
          </cell>
          <cell r="F676">
            <v>826.15000000000828</v>
          </cell>
          <cell r="G676">
            <v>1156.6099999999999</v>
          </cell>
        </row>
        <row r="677">
          <cell r="B677">
            <v>673</v>
          </cell>
          <cell r="C677">
            <v>1271.1500000000085</v>
          </cell>
          <cell r="D677">
            <v>1779.61</v>
          </cell>
          <cell r="F677">
            <v>827.38000000000829</v>
          </cell>
          <cell r="G677">
            <v>1158.33</v>
          </cell>
        </row>
        <row r="678">
          <cell r="B678">
            <v>674</v>
          </cell>
          <cell r="C678">
            <v>1273.0400000000086</v>
          </cell>
          <cell r="D678">
            <v>1782.26</v>
          </cell>
          <cell r="F678">
            <v>828.61000000000831</v>
          </cell>
          <cell r="G678">
            <v>1160.05</v>
          </cell>
        </row>
        <row r="679">
          <cell r="B679">
            <v>675</v>
          </cell>
          <cell r="C679">
            <v>1274.9300000000087</v>
          </cell>
          <cell r="D679">
            <v>1784.9</v>
          </cell>
          <cell r="F679">
            <v>829.84000000000833</v>
          </cell>
          <cell r="G679">
            <v>1161.78</v>
          </cell>
        </row>
        <row r="680">
          <cell r="B680">
            <v>676</v>
          </cell>
          <cell r="C680">
            <v>1276.8200000000088</v>
          </cell>
          <cell r="D680">
            <v>1787.55</v>
          </cell>
          <cell r="F680">
            <v>831.07000000000835</v>
          </cell>
          <cell r="G680">
            <v>1163.5</v>
          </cell>
        </row>
        <row r="681">
          <cell r="B681">
            <v>677</v>
          </cell>
          <cell r="C681">
            <v>1278.7100000000089</v>
          </cell>
          <cell r="D681">
            <v>1790.19</v>
          </cell>
          <cell r="F681">
            <v>832.30000000000837</v>
          </cell>
          <cell r="G681">
            <v>1165.22</v>
          </cell>
        </row>
        <row r="682">
          <cell r="B682">
            <v>678</v>
          </cell>
          <cell r="C682">
            <v>1280.600000000009</v>
          </cell>
          <cell r="D682">
            <v>1792.84</v>
          </cell>
          <cell r="F682">
            <v>833.53000000000839</v>
          </cell>
          <cell r="G682">
            <v>1166.94</v>
          </cell>
        </row>
        <row r="683">
          <cell r="B683">
            <v>679</v>
          </cell>
          <cell r="C683">
            <v>1282.4900000000091</v>
          </cell>
          <cell r="D683">
            <v>1795.49</v>
          </cell>
          <cell r="F683">
            <v>834.7600000000084</v>
          </cell>
          <cell r="G683">
            <v>1168.6600000000001</v>
          </cell>
        </row>
        <row r="684">
          <cell r="B684">
            <v>680</v>
          </cell>
          <cell r="C684">
            <v>1284.3800000000092</v>
          </cell>
          <cell r="D684">
            <v>1798.13</v>
          </cell>
          <cell r="F684">
            <v>835.99000000000842</v>
          </cell>
          <cell r="G684">
            <v>1170.3900000000001</v>
          </cell>
        </row>
        <row r="685">
          <cell r="B685">
            <v>681</v>
          </cell>
          <cell r="C685">
            <v>1286.2700000000093</v>
          </cell>
          <cell r="D685">
            <v>1800.78</v>
          </cell>
          <cell r="F685">
            <v>837.22000000000844</v>
          </cell>
          <cell r="G685">
            <v>1172.1099999999999</v>
          </cell>
        </row>
        <row r="686">
          <cell r="B686">
            <v>682</v>
          </cell>
          <cell r="C686">
            <v>1288.1600000000094</v>
          </cell>
          <cell r="D686">
            <v>1803.42</v>
          </cell>
          <cell r="F686">
            <v>838.45000000000846</v>
          </cell>
          <cell r="G686">
            <v>1173.83</v>
          </cell>
        </row>
        <row r="687">
          <cell r="B687">
            <v>683</v>
          </cell>
          <cell r="C687">
            <v>1290.0500000000095</v>
          </cell>
          <cell r="D687">
            <v>1806.07</v>
          </cell>
          <cell r="F687">
            <v>839.68000000000848</v>
          </cell>
          <cell r="G687">
            <v>1175.55</v>
          </cell>
        </row>
        <row r="688">
          <cell r="B688">
            <v>684</v>
          </cell>
          <cell r="C688">
            <v>1291.9400000000096</v>
          </cell>
          <cell r="D688">
            <v>1808.72</v>
          </cell>
          <cell r="F688">
            <v>840.91000000000849</v>
          </cell>
          <cell r="G688">
            <v>1177.27</v>
          </cell>
        </row>
        <row r="689">
          <cell r="B689">
            <v>685</v>
          </cell>
          <cell r="C689">
            <v>1293.8300000000097</v>
          </cell>
          <cell r="D689">
            <v>1811.36</v>
          </cell>
          <cell r="F689">
            <v>842.14000000000851</v>
          </cell>
          <cell r="G689">
            <v>1179</v>
          </cell>
        </row>
        <row r="690">
          <cell r="B690">
            <v>686</v>
          </cell>
          <cell r="C690">
            <v>1295.7200000000098</v>
          </cell>
          <cell r="D690">
            <v>1814.01</v>
          </cell>
          <cell r="F690">
            <v>843.37000000000853</v>
          </cell>
          <cell r="G690">
            <v>1180.72</v>
          </cell>
        </row>
        <row r="691">
          <cell r="B691">
            <v>687</v>
          </cell>
          <cell r="C691">
            <v>1297.6100000000099</v>
          </cell>
          <cell r="D691">
            <v>1816.65</v>
          </cell>
          <cell r="F691">
            <v>844.60000000000855</v>
          </cell>
          <cell r="G691">
            <v>1182.44</v>
          </cell>
        </row>
        <row r="692">
          <cell r="B692">
            <v>688</v>
          </cell>
          <cell r="C692">
            <v>1299.50000000001</v>
          </cell>
          <cell r="D692">
            <v>1819.3</v>
          </cell>
          <cell r="F692">
            <v>845.83000000000857</v>
          </cell>
          <cell r="G692">
            <v>1184.1600000000001</v>
          </cell>
        </row>
        <row r="693">
          <cell r="B693">
            <v>689</v>
          </cell>
          <cell r="C693">
            <v>1301.3900000000101</v>
          </cell>
          <cell r="D693">
            <v>1821.95</v>
          </cell>
          <cell r="F693">
            <v>847.06000000000859</v>
          </cell>
          <cell r="G693">
            <v>1185.8800000000001</v>
          </cell>
        </row>
        <row r="694">
          <cell r="B694">
            <v>690</v>
          </cell>
          <cell r="C694">
            <v>1303.2800000000102</v>
          </cell>
          <cell r="D694">
            <v>1824.59</v>
          </cell>
          <cell r="F694">
            <v>848.2900000000086</v>
          </cell>
          <cell r="G694">
            <v>1187.6099999999999</v>
          </cell>
        </row>
        <row r="695">
          <cell r="B695">
            <v>691</v>
          </cell>
          <cell r="C695">
            <v>1305.1700000000103</v>
          </cell>
          <cell r="D695">
            <v>1827.24</v>
          </cell>
          <cell r="F695">
            <v>849.52000000000862</v>
          </cell>
          <cell r="G695">
            <v>1189.33</v>
          </cell>
        </row>
        <row r="696">
          <cell r="B696">
            <v>692</v>
          </cell>
          <cell r="C696">
            <v>1307.0600000000104</v>
          </cell>
          <cell r="D696">
            <v>1829.88</v>
          </cell>
          <cell r="F696">
            <v>850.75000000000864</v>
          </cell>
          <cell r="G696">
            <v>1191.05</v>
          </cell>
        </row>
        <row r="697">
          <cell r="B697">
            <v>693</v>
          </cell>
          <cell r="C697">
            <v>1308.9500000000105</v>
          </cell>
          <cell r="D697">
            <v>1832.53</v>
          </cell>
          <cell r="F697">
            <v>851.98000000000866</v>
          </cell>
          <cell r="G697">
            <v>1192.77</v>
          </cell>
        </row>
        <row r="698">
          <cell r="B698">
            <v>694</v>
          </cell>
          <cell r="C698">
            <v>1310.8400000000106</v>
          </cell>
          <cell r="D698">
            <v>1835.18</v>
          </cell>
          <cell r="F698">
            <v>853.21000000000868</v>
          </cell>
          <cell r="G698">
            <v>1194.49</v>
          </cell>
        </row>
        <row r="699">
          <cell r="B699">
            <v>695</v>
          </cell>
          <cell r="C699">
            <v>1312.7300000000107</v>
          </cell>
          <cell r="D699">
            <v>1837.82</v>
          </cell>
          <cell r="F699">
            <v>854.44000000000869</v>
          </cell>
          <cell r="G699">
            <v>1196.22</v>
          </cell>
        </row>
        <row r="700">
          <cell r="B700">
            <v>696</v>
          </cell>
          <cell r="C700">
            <v>1314.6200000000108</v>
          </cell>
          <cell r="D700">
            <v>1840.47</v>
          </cell>
          <cell r="F700">
            <v>855.67000000000871</v>
          </cell>
          <cell r="G700">
            <v>1197.94</v>
          </cell>
        </row>
        <row r="701">
          <cell r="B701">
            <v>697</v>
          </cell>
          <cell r="C701">
            <v>1316.5100000000109</v>
          </cell>
          <cell r="D701">
            <v>1843.11</v>
          </cell>
          <cell r="F701">
            <v>856.90000000000873</v>
          </cell>
          <cell r="G701">
            <v>1199.6600000000001</v>
          </cell>
        </row>
        <row r="702">
          <cell r="B702">
            <v>698</v>
          </cell>
          <cell r="C702">
            <v>1318.400000000011</v>
          </cell>
          <cell r="D702">
            <v>1845.76</v>
          </cell>
          <cell r="F702">
            <v>858.13000000000875</v>
          </cell>
          <cell r="G702">
            <v>1201.3800000000001</v>
          </cell>
        </row>
        <row r="703">
          <cell r="B703">
            <v>699</v>
          </cell>
          <cell r="C703">
            <v>1320.2900000000111</v>
          </cell>
          <cell r="D703">
            <v>1848.41</v>
          </cell>
          <cell r="F703">
            <v>859.36000000000877</v>
          </cell>
          <cell r="G703">
            <v>1203.0999999999999</v>
          </cell>
        </row>
        <row r="704">
          <cell r="B704">
            <v>700</v>
          </cell>
          <cell r="C704">
            <v>1322.1800000000112</v>
          </cell>
          <cell r="D704">
            <v>1851.05</v>
          </cell>
          <cell r="F704">
            <v>860.59000000000879</v>
          </cell>
          <cell r="G704">
            <v>1204.83</v>
          </cell>
        </row>
        <row r="705">
          <cell r="B705">
            <v>701</v>
          </cell>
          <cell r="C705">
            <v>1324.0700000000113</v>
          </cell>
          <cell r="D705">
            <v>1853.7</v>
          </cell>
          <cell r="F705">
            <v>861.8200000000088</v>
          </cell>
          <cell r="G705">
            <v>1206.55</v>
          </cell>
        </row>
        <row r="706">
          <cell r="B706">
            <v>702</v>
          </cell>
          <cell r="C706">
            <v>1325.9600000000114</v>
          </cell>
          <cell r="D706">
            <v>1856.34</v>
          </cell>
          <cell r="F706">
            <v>863.05000000000882</v>
          </cell>
          <cell r="G706">
            <v>1208.27</v>
          </cell>
        </row>
        <row r="707">
          <cell r="B707">
            <v>703</v>
          </cell>
          <cell r="C707">
            <v>1327.8500000000115</v>
          </cell>
          <cell r="D707">
            <v>1858.99</v>
          </cell>
          <cell r="F707">
            <v>864.28000000000884</v>
          </cell>
          <cell r="G707">
            <v>1209.99</v>
          </cell>
        </row>
        <row r="708">
          <cell r="B708">
            <v>704</v>
          </cell>
          <cell r="C708">
            <v>1329.7400000000116</v>
          </cell>
          <cell r="D708">
            <v>1861.64</v>
          </cell>
          <cell r="F708">
            <v>865.51000000000886</v>
          </cell>
          <cell r="G708">
            <v>1211.71</v>
          </cell>
        </row>
        <row r="709">
          <cell r="B709">
            <v>705</v>
          </cell>
          <cell r="C709">
            <v>1331.6300000000117</v>
          </cell>
          <cell r="D709">
            <v>1864.28</v>
          </cell>
          <cell r="F709">
            <v>866.74000000000888</v>
          </cell>
          <cell r="G709">
            <v>1213.44</v>
          </cell>
        </row>
        <row r="710">
          <cell r="B710">
            <v>706</v>
          </cell>
          <cell r="C710">
            <v>1333.5200000000118</v>
          </cell>
          <cell r="D710">
            <v>1866.93</v>
          </cell>
          <cell r="F710">
            <v>867.97000000000889</v>
          </cell>
          <cell r="G710">
            <v>1215.1600000000001</v>
          </cell>
        </row>
        <row r="711">
          <cell r="B711">
            <v>707</v>
          </cell>
          <cell r="C711">
            <v>1335.4100000000119</v>
          </cell>
          <cell r="D711">
            <v>1869.57</v>
          </cell>
          <cell r="F711">
            <v>869.20000000000891</v>
          </cell>
          <cell r="G711">
            <v>1216.8800000000001</v>
          </cell>
        </row>
        <row r="712">
          <cell r="B712">
            <v>708</v>
          </cell>
          <cell r="C712">
            <v>1337.300000000012</v>
          </cell>
          <cell r="D712">
            <v>1872.22</v>
          </cell>
          <cell r="F712">
            <v>870.43000000000893</v>
          </cell>
          <cell r="G712">
            <v>1218.5999999999999</v>
          </cell>
        </row>
        <row r="713">
          <cell r="B713">
            <v>709</v>
          </cell>
          <cell r="C713">
            <v>1339.1900000000121</v>
          </cell>
          <cell r="D713">
            <v>1874.87</v>
          </cell>
          <cell r="F713">
            <v>871.66000000000895</v>
          </cell>
          <cell r="G713">
            <v>1220.32</v>
          </cell>
        </row>
        <row r="714">
          <cell r="B714">
            <v>710</v>
          </cell>
          <cell r="C714">
            <v>1341.0800000000122</v>
          </cell>
          <cell r="D714">
            <v>1877.51</v>
          </cell>
          <cell r="F714">
            <v>872.89000000000897</v>
          </cell>
          <cell r="G714">
            <v>1222.05</v>
          </cell>
        </row>
        <row r="715">
          <cell r="B715">
            <v>711</v>
          </cell>
          <cell r="C715">
            <v>1342.9700000000123</v>
          </cell>
          <cell r="D715">
            <v>1880.16</v>
          </cell>
          <cell r="F715">
            <v>874.12000000000899</v>
          </cell>
          <cell r="G715">
            <v>1223.77</v>
          </cell>
        </row>
        <row r="716">
          <cell r="B716">
            <v>712</v>
          </cell>
          <cell r="C716">
            <v>1344.8600000000124</v>
          </cell>
          <cell r="D716">
            <v>1882.8</v>
          </cell>
          <cell r="F716">
            <v>875.350000000009</v>
          </cell>
          <cell r="G716">
            <v>1225.49</v>
          </cell>
        </row>
        <row r="717">
          <cell r="B717">
            <v>713</v>
          </cell>
          <cell r="C717">
            <v>1346.7500000000125</v>
          </cell>
          <cell r="D717">
            <v>1885.45</v>
          </cell>
          <cell r="F717">
            <v>876.58000000000902</v>
          </cell>
          <cell r="G717">
            <v>1227.21</v>
          </cell>
        </row>
        <row r="718">
          <cell r="B718">
            <v>714</v>
          </cell>
          <cell r="C718">
            <v>1348.6400000000126</v>
          </cell>
          <cell r="D718">
            <v>1888.1</v>
          </cell>
          <cell r="F718">
            <v>877.81000000000904</v>
          </cell>
          <cell r="G718">
            <v>1228.93</v>
          </cell>
        </row>
        <row r="719">
          <cell r="B719">
            <v>715</v>
          </cell>
          <cell r="C719">
            <v>1350.5300000000127</v>
          </cell>
          <cell r="D719">
            <v>1890.74</v>
          </cell>
          <cell r="F719">
            <v>879.04000000000906</v>
          </cell>
          <cell r="G719">
            <v>1230.6600000000001</v>
          </cell>
        </row>
        <row r="720">
          <cell r="B720">
            <v>716</v>
          </cell>
          <cell r="C720">
            <v>1352.4200000000128</v>
          </cell>
          <cell r="D720">
            <v>1893.39</v>
          </cell>
          <cell r="F720">
            <v>880.27000000000908</v>
          </cell>
          <cell r="G720">
            <v>1232.3800000000001</v>
          </cell>
        </row>
        <row r="721">
          <cell r="B721">
            <v>717</v>
          </cell>
          <cell r="C721">
            <v>1354.3100000000129</v>
          </cell>
          <cell r="D721">
            <v>1896.03</v>
          </cell>
          <cell r="F721">
            <v>881.50000000000909</v>
          </cell>
          <cell r="G721">
            <v>1234.0999999999999</v>
          </cell>
        </row>
        <row r="722">
          <cell r="B722">
            <v>718</v>
          </cell>
          <cell r="C722">
            <v>1356.200000000013</v>
          </cell>
          <cell r="D722">
            <v>1898.68</v>
          </cell>
          <cell r="F722">
            <v>882.73000000000911</v>
          </cell>
          <cell r="G722">
            <v>1235.82</v>
          </cell>
        </row>
        <row r="723">
          <cell r="B723">
            <v>719</v>
          </cell>
          <cell r="C723">
            <v>1358.0900000000131</v>
          </cell>
          <cell r="D723">
            <v>1901.33</v>
          </cell>
          <cell r="F723">
            <v>883.96000000000913</v>
          </cell>
          <cell r="G723">
            <v>1237.54</v>
          </cell>
        </row>
        <row r="724">
          <cell r="B724">
            <v>720</v>
          </cell>
          <cell r="C724">
            <v>1359.9800000000132</v>
          </cell>
          <cell r="D724">
            <v>1903.97</v>
          </cell>
          <cell r="F724">
            <v>885.19000000000915</v>
          </cell>
          <cell r="G724">
            <v>1239.27</v>
          </cell>
        </row>
        <row r="725">
          <cell r="B725">
            <v>721</v>
          </cell>
          <cell r="C725">
            <v>1361.8700000000133</v>
          </cell>
          <cell r="D725">
            <v>1906.62</v>
          </cell>
          <cell r="F725">
            <v>886.42000000000917</v>
          </cell>
          <cell r="G725">
            <v>1240.99</v>
          </cell>
        </row>
        <row r="726">
          <cell r="B726">
            <v>722</v>
          </cell>
          <cell r="C726">
            <v>1363.7600000000134</v>
          </cell>
          <cell r="D726">
            <v>1909.26</v>
          </cell>
          <cell r="F726">
            <v>887.65000000000919</v>
          </cell>
          <cell r="G726">
            <v>1242.71</v>
          </cell>
        </row>
        <row r="727">
          <cell r="B727">
            <v>723</v>
          </cell>
          <cell r="C727">
            <v>1365.6500000000135</v>
          </cell>
          <cell r="D727">
            <v>1911.91</v>
          </cell>
          <cell r="F727">
            <v>888.8800000000092</v>
          </cell>
          <cell r="G727">
            <v>1244.43</v>
          </cell>
        </row>
        <row r="728">
          <cell r="B728">
            <v>724</v>
          </cell>
          <cell r="C728">
            <v>1367.5400000000136</v>
          </cell>
          <cell r="D728">
            <v>1914.56</v>
          </cell>
          <cell r="F728">
            <v>890.11000000000922</v>
          </cell>
          <cell r="G728">
            <v>1246.1500000000001</v>
          </cell>
        </row>
        <row r="729">
          <cell r="B729">
            <v>725</v>
          </cell>
          <cell r="C729">
            <v>1369.4300000000137</v>
          </cell>
          <cell r="D729">
            <v>1917.2</v>
          </cell>
          <cell r="F729">
            <v>891.34000000000924</v>
          </cell>
          <cell r="G729">
            <v>1247.8800000000001</v>
          </cell>
        </row>
        <row r="730">
          <cell r="B730">
            <v>726</v>
          </cell>
          <cell r="C730">
            <v>1371.3200000000138</v>
          </cell>
          <cell r="D730">
            <v>1919.85</v>
          </cell>
          <cell r="F730">
            <v>892.57000000000926</v>
          </cell>
          <cell r="G730">
            <v>1249.5999999999999</v>
          </cell>
        </row>
        <row r="731">
          <cell r="B731">
            <v>727</v>
          </cell>
          <cell r="C731">
            <v>1373.2100000000139</v>
          </cell>
          <cell r="D731">
            <v>1922.49</v>
          </cell>
          <cell r="F731">
            <v>893.80000000000928</v>
          </cell>
          <cell r="G731">
            <v>1251.32</v>
          </cell>
        </row>
        <row r="732">
          <cell r="B732">
            <v>728</v>
          </cell>
          <cell r="C732">
            <v>1375.100000000014</v>
          </cell>
          <cell r="D732">
            <v>1925.14</v>
          </cell>
          <cell r="F732">
            <v>895.0300000000093</v>
          </cell>
          <cell r="G732">
            <v>1253.04</v>
          </cell>
        </row>
        <row r="733">
          <cell r="B733">
            <v>729</v>
          </cell>
          <cell r="C733">
            <v>1376.9900000000141</v>
          </cell>
          <cell r="D733">
            <v>1927.79</v>
          </cell>
          <cell r="F733">
            <v>896.26000000000931</v>
          </cell>
          <cell r="G733">
            <v>1254.76</v>
          </cell>
        </row>
        <row r="734">
          <cell r="B734">
            <v>730</v>
          </cell>
          <cell r="C734">
            <v>1378.8800000000142</v>
          </cell>
          <cell r="D734">
            <v>1930.43</v>
          </cell>
          <cell r="F734">
            <v>897.49000000000933</v>
          </cell>
          <cell r="G734">
            <v>1256.49</v>
          </cell>
        </row>
        <row r="735">
          <cell r="B735">
            <v>731</v>
          </cell>
          <cell r="C735">
            <v>1380.7700000000143</v>
          </cell>
          <cell r="D735">
            <v>1933.08</v>
          </cell>
          <cell r="F735">
            <v>898.72000000000935</v>
          </cell>
          <cell r="G735">
            <v>1258.21</v>
          </cell>
        </row>
        <row r="736">
          <cell r="B736">
            <v>732</v>
          </cell>
          <cell r="C736">
            <v>1382.6600000000144</v>
          </cell>
          <cell r="D736">
            <v>1935.72</v>
          </cell>
          <cell r="F736">
            <v>899.95000000000937</v>
          </cell>
          <cell r="G736">
            <v>1259.93</v>
          </cell>
        </row>
        <row r="737">
          <cell r="B737">
            <v>733</v>
          </cell>
          <cell r="C737">
            <v>1384.5500000000145</v>
          </cell>
          <cell r="D737">
            <v>1938.37</v>
          </cell>
          <cell r="F737">
            <v>901.18000000000939</v>
          </cell>
          <cell r="G737">
            <v>1261.6500000000001</v>
          </cell>
        </row>
        <row r="738">
          <cell r="B738">
            <v>734</v>
          </cell>
          <cell r="C738">
            <v>1386.4400000000146</v>
          </cell>
          <cell r="D738">
            <v>1941.02</v>
          </cell>
          <cell r="F738">
            <v>902.4100000000094</v>
          </cell>
          <cell r="G738">
            <v>1263.3699999999999</v>
          </cell>
        </row>
        <row r="739">
          <cell r="B739">
            <v>735</v>
          </cell>
          <cell r="C739">
            <v>1388.3300000000147</v>
          </cell>
          <cell r="D739">
            <v>1943.66</v>
          </cell>
          <cell r="F739">
            <v>903.64000000000942</v>
          </cell>
          <cell r="G739">
            <v>1265.0999999999999</v>
          </cell>
        </row>
        <row r="740">
          <cell r="B740">
            <v>736</v>
          </cell>
          <cell r="C740">
            <v>1390.2200000000148</v>
          </cell>
          <cell r="D740">
            <v>1946.31</v>
          </cell>
          <cell r="F740">
            <v>904.87000000000944</v>
          </cell>
          <cell r="G740">
            <v>1266.82</v>
          </cell>
        </row>
        <row r="741">
          <cell r="B741">
            <v>737</v>
          </cell>
          <cell r="C741">
            <v>1392.1100000000149</v>
          </cell>
          <cell r="D741">
            <v>1948.95</v>
          </cell>
          <cell r="F741">
            <v>906.10000000000946</v>
          </cell>
          <cell r="G741">
            <v>1268.54</v>
          </cell>
        </row>
        <row r="742">
          <cell r="B742">
            <v>738</v>
          </cell>
          <cell r="C742">
            <v>1394.000000000015</v>
          </cell>
          <cell r="D742">
            <v>1951.6</v>
          </cell>
          <cell r="F742">
            <v>907.33000000000948</v>
          </cell>
          <cell r="G742">
            <v>1270.26</v>
          </cell>
        </row>
        <row r="743">
          <cell r="B743">
            <v>739</v>
          </cell>
          <cell r="C743">
            <v>1395.8900000000151</v>
          </cell>
          <cell r="D743">
            <v>1954.25</v>
          </cell>
          <cell r="F743">
            <v>908.5600000000095</v>
          </cell>
          <cell r="G743">
            <v>1271.98</v>
          </cell>
        </row>
        <row r="744">
          <cell r="B744">
            <v>740</v>
          </cell>
          <cell r="C744">
            <v>1397.7800000000152</v>
          </cell>
          <cell r="D744">
            <v>1956.89</v>
          </cell>
          <cell r="F744">
            <v>909.79000000000951</v>
          </cell>
          <cell r="G744">
            <v>1273.71</v>
          </cell>
        </row>
        <row r="745">
          <cell r="B745">
            <v>741</v>
          </cell>
          <cell r="C745">
            <v>1399.6700000000153</v>
          </cell>
          <cell r="D745">
            <v>1959.54</v>
          </cell>
          <cell r="F745">
            <v>911.02000000000953</v>
          </cell>
          <cell r="G745">
            <v>1275.43</v>
          </cell>
        </row>
        <row r="746">
          <cell r="B746">
            <v>742</v>
          </cell>
          <cell r="C746">
            <v>1401.5600000000154</v>
          </cell>
          <cell r="D746">
            <v>1962.18</v>
          </cell>
          <cell r="F746">
            <v>912.25000000000955</v>
          </cell>
          <cell r="G746">
            <v>1277.1500000000001</v>
          </cell>
        </row>
        <row r="747">
          <cell r="B747">
            <v>743</v>
          </cell>
          <cell r="C747">
            <v>1403.4500000000155</v>
          </cell>
          <cell r="D747">
            <v>1964.83</v>
          </cell>
          <cell r="F747">
            <v>913.48000000000957</v>
          </cell>
          <cell r="G747">
            <v>1278.8699999999999</v>
          </cell>
        </row>
        <row r="748">
          <cell r="B748">
            <v>744</v>
          </cell>
          <cell r="C748">
            <v>1405.3400000000156</v>
          </cell>
          <cell r="D748">
            <v>1967.48</v>
          </cell>
          <cell r="F748">
            <v>914.71000000000959</v>
          </cell>
          <cell r="G748">
            <v>1280.5899999999999</v>
          </cell>
        </row>
        <row r="749">
          <cell r="B749">
            <v>745</v>
          </cell>
          <cell r="C749">
            <v>1407.2300000000157</v>
          </cell>
          <cell r="D749">
            <v>1970.12</v>
          </cell>
          <cell r="F749">
            <v>915.9400000000096</v>
          </cell>
          <cell r="G749">
            <v>1282.32</v>
          </cell>
        </row>
        <row r="750">
          <cell r="B750">
            <v>746</v>
          </cell>
          <cell r="C750">
            <v>1409.1200000000158</v>
          </cell>
          <cell r="D750">
            <v>1972.77</v>
          </cell>
          <cell r="F750">
            <v>917.17000000000962</v>
          </cell>
          <cell r="G750">
            <v>1284.04</v>
          </cell>
        </row>
        <row r="751">
          <cell r="B751">
            <v>747</v>
          </cell>
          <cell r="C751">
            <v>1411.0100000000159</v>
          </cell>
          <cell r="D751">
            <v>1975.41</v>
          </cell>
          <cell r="F751">
            <v>918.40000000000964</v>
          </cell>
          <cell r="G751">
            <v>1285.76</v>
          </cell>
        </row>
        <row r="752">
          <cell r="B752">
            <v>748</v>
          </cell>
          <cell r="C752">
            <v>1412.900000000016</v>
          </cell>
          <cell r="D752">
            <v>1978.06</v>
          </cell>
          <cell r="F752">
            <v>919.63000000000966</v>
          </cell>
          <cell r="G752">
            <v>1287.48</v>
          </cell>
        </row>
        <row r="753">
          <cell r="B753">
            <v>749</v>
          </cell>
          <cell r="C753">
            <v>1414.7900000000161</v>
          </cell>
          <cell r="D753">
            <v>1980.71</v>
          </cell>
          <cell r="F753">
            <v>920.86000000000968</v>
          </cell>
          <cell r="G753">
            <v>1289.2</v>
          </cell>
        </row>
        <row r="754">
          <cell r="B754">
            <v>750</v>
          </cell>
          <cell r="C754">
            <v>1416.6800000000162</v>
          </cell>
          <cell r="D754">
            <v>1983.35</v>
          </cell>
          <cell r="F754">
            <v>922.0900000000097</v>
          </cell>
          <cell r="G754">
            <v>1290.93</v>
          </cell>
        </row>
        <row r="755">
          <cell r="B755">
            <v>751</v>
          </cell>
          <cell r="C755">
            <v>1418.5700000000163</v>
          </cell>
          <cell r="D755">
            <v>1986</v>
          </cell>
          <cell r="F755">
            <v>923.32000000000971</v>
          </cell>
          <cell r="G755">
            <v>1292.6500000000001</v>
          </cell>
        </row>
        <row r="756">
          <cell r="B756">
            <v>752</v>
          </cell>
          <cell r="C756">
            <v>1420.4600000000164</v>
          </cell>
          <cell r="D756">
            <v>1988.64</v>
          </cell>
          <cell r="F756">
            <v>924.55000000000973</v>
          </cell>
          <cell r="G756">
            <v>1294.3699999999999</v>
          </cell>
        </row>
        <row r="757">
          <cell r="B757">
            <v>753</v>
          </cell>
          <cell r="C757">
            <v>1422.3500000000165</v>
          </cell>
          <cell r="D757">
            <v>1991.29</v>
          </cell>
          <cell r="F757">
            <v>925.78000000000975</v>
          </cell>
          <cell r="G757">
            <v>1296.0899999999999</v>
          </cell>
        </row>
        <row r="758">
          <cell r="B758">
            <v>754</v>
          </cell>
          <cell r="C758">
            <v>1424.2400000000166</v>
          </cell>
          <cell r="D758">
            <v>1993.94</v>
          </cell>
          <cell r="F758">
            <v>927.01000000000977</v>
          </cell>
          <cell r="G758">
            <v>1297.81</v>
          </cell>
        </row>
        <row r="759">
          <cell r="B759">
            <v>755</v>
          </cell>
          <cell r="C759">
            <v>1426.1300000000167</v>
          </cell>
          <cell r="D759">
            <v>1996.58</v>
          </cell>
          <cell r="F759">
            <v>928.24000000000979</v>
          </cell>
          <cell r="G759">
            <v>1299.54</v>
          </cell>
        </row>
        <row r="760">
          <cell r="B760">
            <v>756</v>
          </cell>
          <cell r="C760">
            <v>1428.0200000000168</v>
          </cell>
          <cell r="D760">
            <v>1999.23</v>
          </cell>
          <cell r="F760">
            <v>929.4700000000098</v>
          </cell>
          <cell r="G760">
            <v>1301.26</v>
          </cell>
        </row>
        <row r="761">
          <cell r="B761">
            <v>757</v>
          </cell>
          <cell r="C761">
            <v>1429.9100000000169</v>
          </cell>
          <cell r="D761">
            <v>2001.87</v>
          </cell>
          <cell r="F761">
            <v>930.70000000000982</v>
          </cell>
          <cell r="G761">
            <v>1302.98</v>
          </cell>
        </row>
        <row r="762">
          <cell r="B762">
            <v>758</v>
          </cell>
          <cell r="C762">
            <v>1431.800000000017</v>
          </cell>
          <cell r="D762">
            <v>2004.52</v>
          </cell>
          <cell r="F762">
            <v>931.93000000000984</v>
          </cell>
          <cell r="G762">
            <v>1304.7</v>
          </cell>
        </row>
        <row r="763">
          <cell r="B763">
            <v>759</v>
          </cell>
          <cell r="C763">
            <v>1433.6900000000171</v>
          </cell>
          <cell r="D763">
            <v>2007.17</v>
          </cell>
          <cell r="F763">
            <v>933.16000000000986</v>
          </cell>
          <cell r="G763">
            <v>1306.42</v>
          </cell>
        </row>
        <row r="764">
          <cell r="B764">
            <v>760</v>
          </cell>
          <cell r="C764">
            <v>1435.5800000000172</v>
          </cell>
          <cell r="D764">
            <v>2009.81</v>
          </cell>
          <cell r="F764">
            <v>934.39000000000988</v>
          </cell>
          <cell r="G764">
            <v>1308.1500000000001</v>
          </cell>
        </row>
        <row r="765">
          <cell r="B765">
            <v>761</v>
          </cell>
          <cell r="C765">
            <v>1437.4700000000173</v>
          </cell>
          <cell r="D765">
            <v>2012.46</v>
          </cell>
          <cell r="F765">
            <v>935.6200000000099</v>
          </cell>
          <cell r="G765">
            <v>1309.8699999999999</v>
          </cell>
        </row>
        <row r="766">
          <cell r="B766">
            <v>762</v>
          </cell>
          <cell r="C766">
            <v>1439.3600000000174</v>
          </cell>
          <cell r="D766">
            <v>2015.1</v>
          </cell>
          <cell r="F766">
            <v>936.85000000000991</v>
          </cell>
          <cell r="G766">
            <v>1311.59</v>
          </cell>
        </row>
        <row r="767">
          <cell r="B767">
            <v>763</v>
          </cell>
          <cell r="C767">
            <v>1441.2500000000175</v>
          </cell>
          <cell r="D767">
            <v>2017.75</v>
          </cell>
          <cell r="F767">
            <v>938.08000000000993</v>
          </cell>
          <cell r="G767">
            <v>1313.31</v>
          </cell>
        </row>
        <row r="768">
          <cell r="B768">
            <v>764</v>
          </cell>
          <cell r="C768">
            <v>1443.1400000000176</v>
          </cell>
          <cell r="D768">
            <v>2020.4</v>
          </cell>
          <cell r="F768">
            <v>939.31000000000995</v>
          </cell>
          <cell r="G768">
            <v>1315.03</v>
          </cell>
        </row>
        <row r="769">
          <cell r="B769">
            <v>765</v>
          </cell>
          <cell r="C769">
            <v>1445.0300000000177</v>
          </cell>
          <cell r="D769">
            <v>2023.04</v>
          </cell>
          <cell r="F769">
            <v>940.54000000000997</v>
          </cell>
          <cell r="G769">
            <v>1316.76</v>
          </cell>
        </row>
        <row r="770">
          <cell r="B770">
            <v>766</v>
          </cell>
          <cell r="C770">
            <v>1446.9200000000178</v>
          </cell>
          <cell r="D770">
            <v>2025.69</v>
          </cell>
          <cell r="F770">
            <v>941.77000000000999</v>
          </cell>
          <cell r="G770">
            <v>1318.48</v>
          </cell>
        </row>
        <row r="771">
          <cell r="B771">
            <v>767</v>
          </cell>
          <cell r="C771">
            <v>1448.8100000000179</v>
          </cell>
          <cell r="D771">
            <v>2028.33</v>
          </cell>
          <cell r="F771">
            <v>943.00000000001</v>
          </cell>
          <cell r="G771">
            <v>1320.2</v>
          </cell>
        </row>
        <row r="772">
          <cell r="B772">
            <v>768</v>
          </cell>
          <cell r="C772">
            <v>1450.700000000018</v>
          </cell>
          <cell r="D772">
            <v>2030.98</v>
          </cell>
          <cell r="F772">
            <v>944.23000000001002</v>
          </cell>
          <cell r="G772">
            <v>1321.92</v>
          </cell>
        </row>
        <row r="773">
          <cell r="B773">
            <v>769</v>
          </cell>
          <cell r="C773">
            <v>1452.5900000000181</v>
          </cell>
          <cell r="D773">
            <v>2033.63</v>
          </cell>
          <cell r="F773">
            <v>945.46000000001004</v>
          </cell>
          <cell r="G773">
            <v>1323.64</v>
          </cell>
        </row>
        <row r="774">
          <cell r="B774">
            <v>770</v>
          </cell>
          <cell r="C774">
            <v>1454.4800000000182</v>
          </cell>
          <cell r="D774">
            <v>2036.27</v>
          </cell>
          <cell r="F774">
            <v>946.69000000001006</v>
          </cell>
          <cell r="G774">
            <v>1325.37</v>
          </cell>
        </row>
        <row r="775">
          <cell r="B775">
            <v>771</v>
          </cell>
          <cell r="C775">
            <v>1456.3700000000183</v>
          </cell>
          <cell r="D775">
            <v>2038.92</v>
          </cell>
          <cell r="F775">
            <v>947.92000000001008</v>
          </cell>
          <cell r="G775">
            <v>1327.09</v>
          </cell>
        </row>
        <row r="776">
          <cell r="B776">
            <v>772</v>
          </cell>
          <cell r="C776">
            <v>1458.2600000000184</v>
          </cell>
          <cell r="D776">
            <v>2041.56</v>
          </cell>
          <cell r="F776">
            <v>949.1500000000101</v>
          </cell>
          <cell r="G776">
            <v>1328.81</v>
          </cell>
        </row>
        <row r="777">
          <cell r="B777">
            <v>773</v>
          </cell>
          <cell r="C777">
            <v>1460.1500000000185</v>
          </cell>
          <cell r="D777">
            <v>2044.21</v>
          </cell>
          <cell r="F777">
            <v>950.38000000001011</v>
          </cell>
          <cell r="G777">
            <v>1330.53</v>
          </cell>
        </row>
        <row r="778">
          <cell r="B778">
            <v>774</v>
          </cell>
          <cell r="C778">
            <v>1462.0400000000186</v>
          </cell>
          <cell r="D778">
            <v>2046.86</v>
          </cell>
          <cell r="F778">
            <v>951.61000000001013</v>
          </cell>
          <cell r="G778">
            <v>1332.25</v>
          </cell>
        </row>
        <row r="779">
          <cell r="B779">
            <v>775</v>
          </cell>
          <cell r="C779">
            <v>1463.9300000000187</v>
          </cell>
          <cell r="D779">
            <v>2049.5</v>
          </cell>
          <cell r="F779">
            <v>952.84000000001015</v>
          </cell>
          <cell r="G779">
            <v>1333.98</v>
          </cell>
        </row>
        <row r="780">
          <cell r="B780">
            <v>776</v>
          </cell>
          <cell r="C780">
            <v>1465.8200000000188</v>
          </cell>
          <cell r="D780">
            <v>2052.15</v>
          </cell>
          <cell r="F780">
            <v>954.07000000001017</v>
          </cell>
          <cell r="G780">
            <v>1335.7</v>
          </cell>
        </row>
        <row r="781">
          <cell r="B781">
            <v>777</v>
          </cell>
          <cell r="C781">
            <v>1467.7100000000189</v>
          </cell>
          <cell r="D781">
            <v>2054.79</v>
          </cell>
          <cell r="F781">
            <v>955.30000000001019</v>
          </cell>
          <cell r="G781">
            <v>1337.42</v>
          </cell>
        </row>
        <row r="782">
          <cell r="B782">
            <v>778</v>
          </cell>
          <cell r="C782">
            <v>1469.600000000019</v>
          </cell>
          <cell r="D782">
            <v>2057.44</v>
          </cell>
          <cell r="F782">
            <v>956.5300000000102</v>
          </cell>
          <cell r="G782">
            <v>1339.14</v>
          </cell>
        </row>
        <row r="783">
          <cell r="B783">
            <v>779</v>
          </cell>
          <cell r="C783">
            <v>1471.4900000000191</v>
          </cell>
          <cell r="D783">
            <v>2060.09</v>
          </cell>
          <cell r="F783">
            <v>957.76000000001022</v>
          </cell>
          <cell r="G783">
            <v>1340.86</v>
          </cell>
        </row>
        <row r="784">
          <cell r="B784">
            <v>780</v>
          </cell>
          <cell r="C784">
            <v>1473.3800000000192</v>
          </cell>
          <cell r="D784">
            <v>2062.73</v>
          </cell>
          <cell r="F784">
            <v>958.99000000001024</v>
          </cell>
          <cell r="G784">
            <v>1342.59</v>
          </cell>
        </row>
        <row r="785">
          <cell r="B785">
            <v>781</v>
          </cell>
          <cell r="C785">
            <v>1475.2700000000193</v>
          </cell>
          <cell r="D785">
            <v>2065.38</v>
          </cell>
          <cell r="F785">
            <v>960.22000000001026</v>
          </cell>
          <cell r="G785">
            <v>1344.31</v>
          </cell>
        </row>
        <row r="786">
          <cell r="B786">
            <v>782</v>
          </cell>
          <cell r="C786">
            <v>1477.1600000000194</v>
          </cell>
          <cell r="D786">
            <v>2068.02</v>
          </cell>
          <cell r="F786">
            <v>961.45000000001028</v>
          </cell>
          <cell r="G786">
            <v>1346.03</v>
          </cell>
        </row>
        <row r="787">
          <cell r="B787">
            <v>783</v>
          </cell>
          <cell r="C787">
            <v>1479.0500000000195</v>
          </cell>
          <cell r="D787">
            <v>2070.67</v>
          </cell>
          <cell r="F787">
            <v>962.6800000000103</v>
          </cell>
          <cell r="G787">
            <v>1347.75</v>
          </cell>
        </row>
        <row r="788">
          <cell r="B788">
            <v>784</v>
          </cell>
          <cell r="C788">
            <v>1480.9400000000196</v>
          </cell>
          <cell r="D788">
            <v>2073.3200000000002</v>
          </cell>
          <cell r="F788">
            <v>963.91000000001031</v>
          </cell>
          <cell r="G788">
            <v>1349.47</v>
          </cell>
        </row>
        <row r="789">
          <cell r="B789">
            <v>785</v>
          </cell>
          <cell r="C789">
            <v>1482.8300000000197</v>
          </cell>
          <cell r="D789">
            <v>2075.96</v>
          </cell>
          <cell r="F789">
            <v>965.14000000001033</v>
          </cell>
          <cell r="G789">
            <v>1351.2</v>
          </cell>
        </row>
        <row r="790">
          <cell r="B790">
            <v>786</v>
          </cell>
          <cell r="C790">
            <v>1484.7200000000198</v>
          </cell>
          <cell r="D790">
            <v>2078.61</v>
          </cell>
          <cell r="F790">
            <v>966.37000000001035</v>
          </cell>
          <cell r="G790">
            <v>1352.92</v>
          </cell>
        </row>
        <row r="791">
          <cell r="B791">
            <v>787</v>
          </cell>
          <cell r="C791">
            <v>1486.6100000000199</v>
          </cell>
          <cell r="D791">
            <v>2081.25</v>
          </cell>
          <cell r="F791">
            <v>967.60000000001037</v>
          </cell>
          <cell r="G791">
            <v>1354.64</v>
          </cell>
        </row>
        <row r="792">
          <cell r="B792">
            <v>788</v>
          </cell>
          <cell r="C792">
            <v>1488.50000000002</v>
          </cell>
          <cell r="D792">
            <v>2083.9</v>
          </cell>
          <cell r="F792">
            <v>968.83000000001039</v>
          </cell>
          <cell r="G792">
            <v>1356.36</v>
          </cell>
        </row>
        <row r="793">
          <cell r="B793">
            <v>789</v>
          </cell>
          <cell r="C793">
            <v>1490.3900000000201</v>
          </cell>
          <cell r="D793">
            <v>2086.5500000000002</v>
          </cell>
          <cell r="F793">
            <v>970.0600000000104</v>
          </cell>
          <cell r="G793">
            <v>1358.08</v>
          </cell>
        </row>
        <row r="794">
          <cell r="B794">
            <v>790</v>
          </cell>
          <cell r="C794">
            <v>1492.2800000000202</v>
          </cell>
          <cell r="D794">
            <v>2089.19</v>
          </cell>
          <cell r="F794">
            <v>971.29000000001042</v>
          </cell>
          <cell r="G794">
            <v>1359.81</v>
          </cell>
        </row>
        <row r="795">
          <cell r="B795">
            <v>791</v>
          </cell>
          <cell r="C795">
            <v>1494.1700000000203</v>
          </cell>
          <cell r="D795">
            <v>2091.84</v>
          </cell>
          <cell r="F795">
            <v>972.52000000001044</v>
          </cell>
          <cell r="G795">
            <v>1361.53</v>
          </cell>
        </row>
        <row r="796">
          <cell r="B796">
            <v>792</v>
          </cell>
          <cell r="C796">
            <v>1496.0600000000204</v>
          </cell>
          <cell r="D796">
            <v>2094.48</v>
          </cell>
          <cell r="F796">
            <v>973.75000000001046</v>
          </cell>
          <cell r="G796">
            <v>1363.25</v>
          </cell>
        </row>
        <row r="797">
          <cell r="B797">
            <v>793</v>
          </cell>
          <cell r="C797">
            <v>1497.9500000000205</v>
          </cell>
          <cell r="D797">
            <v>2097.13</v>
          </cell>
          <cell r="F797">
            <v>974.98000000001048</v>
          </cell>
          <cell r="G797">
            <v>1364.97</v>
          </cell>
        </row>
        <row r="798">
          <cell r="B798">
            <v>794</v>
          </cell>
          <cell r="C798">
            <v>1499.8400000000206</v>
          </cell>
          <cell r="D798">
            <v>2099.7800000000002</v>
          </cell>
          <cell r="F798">
            <v>976.2100000000105</v>
          </cell>
          <cell r="G798">
            <v>1366.69</v>
          </cell>
        </row>
        <row r="799">
          <cell r="B799">
            <v>795</v>
          </cell>
          <cell r="C799">
            <v>1501.7300000000207</v>
          </cell>
          <cell r="D799">
            <v>2102.42</v>
          </cell>
          <cell r="F799">
            <v>977.44000000001051</v>
          </cell>
          <cell r="G799">
            <v>1368.42</v>
          </cell>
        </row>
        <row r="800">
          <cell r="B800">
            <v>796</v>
          </cell>
          <cell r="C800">
            <v>1503.6200000000208</v>
          </cell>
          <cell r="D800">
            <v>2105.0700000000002</v>
          </cell>
          <cell r="F800">
            <v>978.67000000001053</v>
          </cell>
          <cell r="G800">
            <v>1370.14</v>
          </cell>
        </row>
        <row r="801">
          <cell r="B801">
            <v>797</v>
          </cell>
          <cell r="C801">
            <v>1505.5100000000209</v>
          </cell>
          <cell r="D801">
            <v>2107.71</v>
          </cell>
          <cell r="F801">
            <v>979.90000000001055</v>
          </cell>
          <cell r="G801">
            <v>1371.86</v>
          </cell>
        </row>
        <row r="802">
          <cell r="B802">
            <v>798</v>
          </cell>
          <cell r="C802">
            <v>1507.400000000021</v>
          </cell>
          <cell r="D802">
            <v>2110.36</v>
          </cell>
          <cell r="F802">
            <v>981.13000000001057</v>
          </cell>
          <cell r="G802">
            <v>1373.58</v>
          </cell>
        </row>
        <row r="803">
          <cell r="B803">
            <v>799</v>
          </cell>
          <cell r="C803">
            <v>1509.2900000000211</v>
          </cell>
          <cell r="D803">
            <v>2113.0100000000002</v>
          </cell>
          <cell r="F803">
            <v>982.36000000001059</v>
          </cell>
          <cell r="G803">
            <v>1375.3</v>
          </cell>
        </row>
        <row r="804">
          <cell r="B804">
            <v>800</v>
          </cell>
          <cell r="C804">
            <v>1511.1800000000212</v>
          </cell>
          <cell r="D804">
            <v>2115.65</v>
          </cell>
          <cell r="F804">
            <v>983.5900000000106</v>
          </cell>
          <cell r="G804">
            <v>1377.03</v>
          </cell>
        </row>
        <row r="805">
          <cell r="B805">
            <v>801</v>
          </cell>
          <cell r="C805">
            <v>1513.0700000000213</v>
          </cell>
          <cell r="D805">
            <v>2118.3000000000002</v>
          </cell>
          <cell r="F805">
            <v>984.82000000001062</v>
          </cell>
          <cell r="G805">
            <v>1378.75</v>
          </cell>
        </row>
        <row r="806">
          <cell r="B806">
            <v>802</v>
          </cell>
          <cell r="C806">
            <v>1514.9600000000214</v>
          </cell>
          <cell r="D806">
            <v>2120.94</v>
          </cell>
          <cell r="F806">
            <v>986.05000000001064</v>
          </cell>
          <cell r="G806">
            <v>1380.47</v>
          </cell>
        </row>
        <row r="807">
          <cell r="B807">
            <v>803</v>
          </cell>
          <cell r="C807">
            <v>1516.8500000000215</v>
          </cell>
          <cell r="D807">
            <v>2123.59</v>
          </cell>
          <cell r="F807">
            <v>987.28000000001066</v>
          </cell>
          <cell r="G807">
            <v>1382.19</v>
          </cell>
        </row>
        <row r="808">
          <cell r="B808">
            <v>804</v>
          </cell>
          <cell r="C808">
            <v>1518.7400000000216</v>
          </cell>
          <cell r="D808">
            <v>2126.2399999999998</v>
          </cell>
          <cell r="F808">
            <v>988.51000000001068</v>
          </cell>
          <cell r="G808">
            <v>1383.91</v>
          </cell>
        </row>
        <row r="809">
          <cell r="B809">
            <v>805</v>
          </cell>
          <cell r="C809">
            <v>1520.6300000000217</v>
          </cell>
          <cell r="D809">
            <v>2128.88</v>
          </cell>
          <cell r="F809">
            <v>989.7400000000107</v>
          </cell>
          <cell r="G809">
            <v>1385.64</v>
          </cell>
        </row>
        <row r="810">
          <cell r="B810">
            <v>806</v>
          </cell>
          <cell r="C810">
            <v>1522.5200000000218</v>
          </cell>
          <cell r="D810">
            <v>2131.5300000000002</v>
          </cell>
          <cell r="F810">
            <v>990.97000000001071</v>
          </cell>
          <cell r="G810">
            <v>1387.36</v>
          </cell>
        </row>
        <row r="811">
          <cell r="B811">
            <v>807</v>
          </cell>
          <cell r="C811">
            <v>1524.4100000000219</v>
          </cell>
          <cell r="D811">
            <v>2134.17</v>
          </cell>
          <cell r="F811">
            <v>992.20000000001073</v>
          </cell>
          <cell r="G811">
            <v>1389.08</v>
          </cell>
        </row>
        <row r="812">
          <cell r="B812">
            <v>808</v>
          </cell>
          <cell r="C812">
            <v>1526.300000000022</v>
          </cell>
          <cell r="D812">
            <v>2136.8200000000002</v>
          </cell>
          <cell r="F812">
            <v>993.43000000001075</v>
          </cell>
          <cell r="G812">
            <v>1390.8</v>
          </cell>
        </row>
        <row r="813">
          <cell r="B813">
            <v>809</v>
          </cell>
          <cell r="C813">
            <v>1528.1900000000221</v>
          </cell>
          <cell r="D813">
            <v>2139.4699999999998</v>
          </cell>
          <cell r="F813">
            <v>994.66000000001077</v>
          </cell>
          <cell r="G813">
            <v>1392.52</v>
          </cell>
        </row>
        <row r="814">
          <cell r="B814">
            <v>810</v>
          </cell>
          <cell r="C814">
            <v>1530.0800000000222</v>
          </cell>
          <cell r="D814">
            <v>2142.11</v>
          </cell>
          <cell r="F814">
            <v>995.89000000001079</v>
          </cell>
          <cell r="G814">
            <v>1394.25</v>
          </cell>
        </row>
        <row r="815">
          <cell r="B815">
            <v>811</v>
          </cell>
          <cell r="C815">
            <v>1531.9700000000223</v>
          </cell>
          <cell r="D815">
            <v>2144.7600000000002</v>
          </cell>
          <cell r="F815">
            <v>997.1200000000108</v>
          </cell>
          <cell r="G815">
            <v>1395.97</v>
          </cell>
        </row>
        <row r="816">
          <cell r="B816">
            <v>812</v>
          </cell>
          <cell r="C816">
            <v>1533.8600000000224</v>
          </cell>
          <cell r="D816">
            <v>2147.4</v>
          </cell>
          <cell r="F816">
            <v>998.35000000001082</v>
          </cell>
          <cell r="G816">
            <v>1397.69</v>
          </cell>
        </row>
        <row r="817">
          <cell r="B817">
            <v>813</v>
          </cell>
          <cell r="C817">
            <v>1535.7500000000225</v>
          </cell>
          <cell r="D817">
            <v>2150.0500000000002</v>
          </cell>
          <cell r="F817">
            <v>999.58000000001084</v>
          </cell>
          <cell r="G817">
            <v>1399.41</v>
          </cell>
        </row>
        <row r="818">
          <cell r="B818">
            <v>814</v>
          </cell>
          <cell r="C818">
            <v>1537.6400000000226</v>
          </cell>
          <cell r="D818">
            <v>2152.6999999999998</v>
          </cell>
          <cell r="F818">
            <v>1000.8100000000109</v>
          </cell>
          <cell r="G818">
            <v>1401.13</v>
          </cell>
        </row>
        <row r="819">
          <cell r="B819">
            <v>815</v>
          </cell>
          <cell r="C819">
            <v>1539.5300000000227</v>
          </cell>
          <cell r="D819">
            <v>2155.34</v>
          </cell>
          <cell r="F819">
            <v>1002.0400000000109</v>
          </cell>
          <cell r="G819">
            <v>1402.86</v>
          </cell>
        </row>
        <row r="820">
          <cell r="B820">
            <v>816</v>
          </cell>
          <cell r="C820">
            <v>1541.4200000000228</v>
          </cell>
          <cell r="D820">
            <v>2157.9899999999998</v>
          </cell>
          <cell r="F820">
            <v>1003.2700000000109</v>
          </cell>
          <cell r="G820">
            <v>1404.58</v>
          </cell>
        </row>
        <row r="821">
          <cell r="B821">
            <v>817</v>
          </cell>
          <cell r="C821">
            <v>1543.3100000000229</v>
          </cell>
          <cell r="D821">
            <v>2160.63</v>
          </cell>
          <cell r="F821">
            <v>1004.5000000000109</v>
          </cell>
          <cell r="G821">
            <v>1406.3</v>
          </cell>
        </row>
        <row r="822">
          <cell r="B822">
            <v>818</v>
          </cell>
          <cell r="C822">
            <v>1545.200000000023</v>
          </cell>
          <cell r="D822">
            <v>2163.2800000000002</v>
          </cell>
          <cell r="F822">
            <v>1005.7300000000109</v>
          </cell>
          <cell r="G822">
            <v>1408.02</v>
          </cell>
        </row>
        <row r="823">
          <cell r="B823">
            <v>819</v>
          </cell>
          <cell r="C823">
            <v>1547.0900000000231</v>
          </cell>
          <cell r="D823">
            <v>2165.9299999999998</v>
          </cell>
          <cell r="F823">
            <v>1006.960000000011</v>
          </cell>
          <cell r="G823">
            <v>1409.74</v>
          </cell>
        </row>
        <row r="824">
          <cell r="B824">
            <v>820</v>
          </cell>
          <cell r="C824">
            <v>1548.9800000000232</v>
          </cell>
          <cell r="D824">
            <v>2168.5700000000002</v>
          </cell>
          <cell r="F824">
            <v>1008.190000000011</v>
          </cell>
          <cell r="G824">
            <v>1411.47</v>
          </cell>
        </row>
        <row r="825">
          <cell r="B825">
            <v>821</v>
          </cell>
          <cell r="C825">
            <v>1550.8700000000233</v>
          </cell>
          <cell r="D825">
            <v>2171.2199999999998</v>
          </cell>
          <cell r="F825">
            <v>1009.420000000011</v>
          </cell>
          <cell r="G825">
            <v>1413.19</v>
          </cell>
        </row>
        <row r="826">
          <cell r="B826">
            <v>822</v>
          </cell>
          <cell r="C826">
            <v>1552.7600000000234</v>
          </cell>
          <cell r="D826">
            <v>2173.86</v>
          </cell>
          <cell r="F826">
            <v>1010.650000000011</v>
          </cell>
          <cell r="G826">
            <v>1414.91</v>
          </cell>
        </row>
        <row r="827">
          <cell r="B827">
            <v>823</v>
          </cell>
          <cell r="C827">
            <v>1554.6500000000235</v>
          </cell>
          <cell r="D827">
            <v>2176.5100000000002</v>
          </cell>
          <cell r="F827">
            <v>1011.880000000011</v>
          </cell>
          <cell r="G827">
            <v>1416.63</v>
          </cell>
        </row>
        <row r="828">
          <cell r="B828">
            <v>824</v>
          </cell>
          <cell r="C828">
            <v>1556.5400000000236</v>
          </cell>
          <cell r="D828">
            <v>2179.16</v>
          </cell>
          <cell r="F828">
            <v>1013.110000000011</v>
          </cell>
          <cell r="G828">
            <v>1418.35</v>
          </cell>
        </row>
        <row r="829">
          <cell r="B829">
            <v>825</v>
          </cell>
          <cell r="C829">
            <v>1558.4300000000237</v>
          </cell>
          <cell r="D829">
            <v>2181.8000000000002</v>
          </cell>
          <cell r="F829">
            <v>1014.3400000000111</v>
          </cell>
          <cell r="G829">
            <v>1420.08</v>
          </cell>
        </row>
        <row r="830">
          <cell r="B830">
            <v>826</v>
          </cell>
          <cell r="C830">
            <v>1560.3200000000238</v>
          </cell>
          <cell r="D830">
            <v>2184.4499999999998</v>
          </cell>
          <cell r="F830">
            <v>1015.5700000000111</v>
          </cell>
          <cell r="G830">
            <v>1421.8</v>
          </cell>
        </row>
        <row r="831">
          <cell r="B831">
            <v>827</v>
          </cell>
          <cell r="C831">
            <v>1562.2100000000239</v>
          </cell>
          <cell r="D831">
            <v>2187.09</v>
          </cell>
          <cell r="F831">
            <v>1016.8000000000111</v>
          </cell>
          <cell r="G831">
            <v>1423.52</v>
          </cell>
        </row>
        <row r="832">
          <cell r="B832">
            <v>828</v>
          </cell>
          <cell r="C832">
            <v>1564.100000000024</v>
          </cell>
          <cell r="D832">
            <v>2189.7399999999998</v>
          </cell>
          <cell r="F832">
            <v>1018.0300000000111</v>
          </cell>
          <cell r="G832">
            <v>1425.24</v>
          </cell>
        </row>
        <row r="833">
          <cell r="B833">
            <v>829</v>
          </cell>
          <cell r="C833">
            <v>1565.9900000000241</v>
          </cell>
          <cell r="D833">
            <v>2192.39</v>
          </cell>
          <cell r="F833">
            <v>1019.2600000000111</v>
          </cell>
          <cell r="G833">
            <v>1426.96</v>
          </cell>
        </row>
        <row r="834">
          <cell r="B834">
            <v>830</v>
          </cell>
          <cell r="C834">
            <v>1567.8800000000242</v>
          </cell>
          <cell r="D834">
            <v>2195.0300000000002</v>
          </cell>
          <cell r="F834">
            <v>1020.4900000000112</v>
          </cell>
          <cell r="G834">
            <v>1428.69</v>
          </cell>
        </row>
        <row r="835">
          <cell r="B835">
            <v>831</v>
          </cell>
          <cell r="C835">
            <v>1569.7700000000243</v>
          </cell>
          <cell r="D835">
            <v>2197.6799999999998</v>
          </cell>
          <cell r="F835">
            <v>1021.7200000000112</v>
          </cell>
          <cell r="G835">
            <v>1430.41</v>
          </cell>
        </row>
        <row r="836">
          <cell r="B836">
            <v>832</v>
          </cell>
          <cell r="C836">
            <v>1571.6600000000244</v>
          </cell>
          <cell r="D836">
            <v>2200.3200000000002</v>
          </cell>
          <cell r="F836">
            <v>1022.9500000000112</v>
          </cell>
          <cell r="G836">
            <v>1432.13</v>
          </cell>
        </row>
        <row r="837">
          <cell r="B837">
            <v>833</v>
          </cell>
          <cell r="C837">
            <v>1573.5500000000245</v>
          </cell>
          <cell r="D837">
            <v>2202.9699999999998</v>
          </cell>
          <cell r="F837">
            <v>1024.1800000000112</v>
          </cell>
          <cell r="G837">
            <v>1433.85</v>
          </cell>
        </row>
        <row r="838">
          <cell r="B838">
            <v>834</v>
          </cell>
          <cell r="C838">
            <v>1575.4400000000246</v>
          </cell>
          <cell r="D838">
            <v>2205.62</v>
          </cell>
          <cell r="F838">
            <v>1025.4100000000112</v>
          </cell>
          <cell r="G838">
            <v>1435.57</v>
          </cell>
        </row>
        <row r="839">
          <cell r="B839">
            <v>835</v>
          </cell>
          <cell r="C839">
            <v>1577.3300000000247</v>
          </cell>
          <cell r="D839">
            <v>2208.2600000000002</v>
          </cell>
          <cell r="F839">
            <v>1026.6400000000112</v>
          </cell>
          <cell r="G839">
            <v>1437.3</v>
          </cell>
        </row>
        <row r="840">
          <cell r="B840">
            <v>836</v>
          </cell>
          <cell r="C840">
            <v>1579.2200000000248</v>
          </cell>
          <cell r="D840">
            <v>2210.91</v>
          </cell>
          <cell r="F840">
            <v>1027.8700000000113</v>
          </cell>
          <cell r="G840">
            <v>1439.02</v>
          </cell>
        </row>
        <row r="841">
          <cell r="B841">
            <v>837</v>
          </cell>
          <cell r="C841">
            <v>1581.1100000000249</v>
          </cell>
          <cell r="D841">
            <v>2213.5500000000002</v>
          </cell>
          <cell r="F841">
            <v>1029.1000000000113</v>
          </cell>
          <cell r="G841">
            <v>1440.74</v>
          </cell>
        </row>
        <row r="842">
          <cell r="B842">
            <v>838</v>
          </cell>
          <cell r="C842">
            <v>1583.000000000025</v>
          </cell>
          <cell r="D842">
            <v>2216.1999999999998</v>
          </cell>
          <cell r="F842">
            <v>1030.3300000000113</v>
          </cell>
          <cell r="G842">
            <v>1442.46</v>
          </cell>
        </row>
        <row r="843">
          <cell r="B843">
            <v>839</v>
          </cell>
          <cell r="C843">
            <v>1584.8900000000251</v>
          </cell>
          <cell r="D843">
            <v>2218.85</v>
          </cell>
          <cell r="F843">
            <v>1031.5600000000113</v>
          </cell>
          <cell r="G843">
            <v>1444.18</v>
          </cell>
        </row>
        <row r="844">
          <cell r="B844">
            <v>840</v>
          </cell>
          <cell r="C844">
            <v>1586.7800000000252</v>
          </cell>
          <cell r="D844">
            <v>2221.4899999999998</v>
          </cell>
          <cell r="F844">
            <v>1032.7900000000113</v>
          </cell>
          <cell r="G844">
            <v>1445.91</v>
          </cell>
        </row>
        <row r="845">
          <cell r="B845">
            <v>841</v>
          </cell>
          <cell r="C845">
            <v>1588.6700000000253</v>
          </cell>
          <cell r="D845">
            <v>2224.14</v>
          </cell>
          <cell r="F845">
            <v>1034.0200000000114</v>
          </cell>
          <cell r="G845">
            <v>1447.63</v>
          </cell>
        </row>
        <row r="846">
          <cell r="B846">
            <v>842</v>
          </cell>
          <cell r="C846">
            <v>1590.5600000000254</v>
          </cell>
          <cell r="D846">
            <v>2226.7800000000002</v>
          </cell>
          <cell r="F846">
            <v>1035.2500000000114</v>
          </cell>
          <cell r="G846">
            <v>1449.35</v>
          </cell>
        </row>
        <row r="847">
          <cell r="B847">
            <v>843</v>
          </cell>
          <cell r="C847">
            <v>1592.4500000000255</v>
          </cell>
          <cell r="D847">
            <v>2229.4299999999998</v>
          </cell>
          <cell r="F847">
            <v>1036.4800000000114</v>
          </cell>
          <cell r="G847">
            <v>1451.07</v>
          </cell>
        </row>
        <row r="848">
          <cell r="B848">
            <v>844</v>
          </cell>
          <cell r="C848">
            <v>1594.3400000000256</v>
          </cell>
          <cell r="D848">
            <v>2232.08</v>
          </cell>
          <cell r="F848">
            <v>1037.7100000000114</v>
          </cell>
          <cell r="G848">
            <v>1452.79</v>
          </cell>
        </row>
        <row r="849">
          <cell r="B849">
            <v>845</v>
          </cell>
          <cell r="C849">
            <v>1596.2300000000257</v>
          </cell>
          <cell r="D849">
            <v>2234.7199999999998</v>
          </cell>
          <cell r="F849">
            <v>1038.9400000000114</v>
          </cell>
          <cell r="G849">
            <v>1454.52</v>
          </cell>
        </row>
        <row r="850">
          <cell r="B850">
            <v>846</v>
          </cell>
          <cell r="C850">
            <v>1598.1200000000258</v>
          </cell>
          <cell r="D850">
            <v>2237.37</v>
          </cell>
          <cell r="F850">
            <v>1040.1700000000114</v>
          </cell>
          <cell r="G850">
            <v>1456.24</v>
          </cell>
        </row>
        <row r="851">
          <cell r="B851">
            <v>847</v>
          </cell>
          <cell r="C851">
            <v>1600.0100000000259</v>
          </cell>
          <cell r="D851">
            <v>2240.0100000000002</v>
          </cell>
          <cell r="F851">
            <v>1041.4000000000115</v>
          </cell>
          <cell r="G851">
            <v>1457.96</v>
          </cell>
        </row>
        <row r="852">
          <cell r="B852">
            <v>848</v>
          </cell>
          <cell r="C852">
            <v>1601.900000000026</v>
          </cell>
          <cell r="D852">
            <v>2242.66</v>
          </cell>
          <cell r="F852">
            <v>1042.6300000000115</v>
          </cell>
          <cell r="G852">
            <v>1459.68</v>
          </cell>
        </row>
        <row r="853">
          <cell r="B853">
            <v>849</v>
          </cell>
          <cell r="C853">
            <v>1603.7900000000261</v>
          </cell>
          <cell r="D853">
            <v>2245.31</v>
          </cell>
          <cell r="F853">
            <v>1043.8600000000115</v>
          </cell>
          <cell r="G853">
            <v>1461.4</v>
          </cell>
        </row>
        <row r="854">
          <cell r="B854">
            <v>850</v>
          </cell>
          <cell r="C854">
            <v>1605.6800000000262</v>
          </cell>
          <cell r="D854">
            <v>2247.9499999999998</v>
          </cell>
          <cell r="F854">
            <v>1045.0900000000115</v>
          </cell>
          <cell r="G854">
            <v>1463.13</v>
          </cell>
        </row>
        <row r="855">
          <cell r="B855">
            <v>851</v>
          </cell>
          <cell r="C855">
            <v>1607.5700000000263</v>
          </cell>
          <cell r="D855">
            <v>2250.6</v>
          </cell>
          <cell r="F855">
            <v>1046.3200000000115</v>
          </cell>
          <cell r="G855">
            <v>1464.85</v>
          </cell>
        </row>
        <row r="856">
          <cell r="B856">
            <v>852</v>
          </cell>
          <cell r="C856">
            <v>1609.4600000000264</v>
          </cell>
          <cell r="D856">
            <v>2253.2399999999998</v>
          </cell>
          <cell r="F856">
            <v>1047.5500000000116</v>
          </cell>
          <cell r="G856">
            <v>1466.57</v>
          </cell>
        </row>
        <row r="857">
          <cell r="B857">
            <v>853</v>
          </cell>
          <cell r="C857">
            <v>1611.3500000000265</v>
          </cell>
          <cell r="D857">
            <v>2255.89</v>
          </cell>
          <cell r="F857">
            <v>1048.7800000000116</v>
          </cell>
          <cell r="G857">
            <v>1468.29</v>
          </cell>
        </row>
        <row r="858">
          <cell r="B858">
            <v>854</v>
          </cell>
          <cell r="C858">
            <v>1613.2400000000266</v>
          </cell>
          <cell r="D858">
            <v>2258.54</v>
          </cell>
          <cell r="F858">
            <v>1050.0100000000116</v>
          </cell>
          <cell r="G858">
            <v>1470.01</v>
          </cell>
        </row>
        <row r="859">
          <cell r="B859">
            <v>855</v>
          </cell>
          <cell r="C859">
            <v>1615.1300000000267</v>
          </cell>
          <cell r="D859">
            <v>2261.1799999999998</v>
          </cell>
          <cell r="F859">
            <v>1051.2400000000116</v>
          </cell>
          <cell r="G859">
            <v>1471.74</v>
          </cell>
        </row>
        <row r="860">
          <cell r="B860">
            <v>856</v>
          </cell>
          <cell r="C860">
            <v>1617.0200000000268</v>
          </cell>
          <cell r="D860">
            <v>2263.83</v>
          </cell>
          <cell r="F860">
            <v>1052.4700000000116</v>
          </cell>
          <cell r="G860">
            <v>1473.46</v>
          </cell>
        </row>
        <row r="861">
          <cell r="B861">
            <v>857</v>
          </cell>
          <cell r="C861">
            <v>1618.9100000000269</v>
          </cell>
          <cell r="D861">
            <v>2266.4699999999998</v>
          </cell>
          <cell r="F861">
            <v>1053.7000000000116</v>
          </cell>
          <cell r="G861">
            <v>1475.18</v>
          </cell>
        </row>
        <row r="862">
          <cell r="B862">
            <v>858</v>
          </cell>
          <cell r="C862">
            <v>1620.800000000027</v>
          </cell>
          <cell r="D862">
            <v>2269.12</v>
          </cell>
          <cell r="F862">
            <v>1054.9300000000117</v>
          </cell>
          <cell r="G862">
            <v>1476.9</v>
          </cell>
        </row>
        <row r="863">
          <cell r="B863">
            <v>859</v>
          </cell>
          <cell r="C863">
            <v>1622.6900000000271</v>
          </cell>
          <cell r="D863">
            <v>2271.77</v>
          </cell>
          <cell r="F863">
            <v>1056.1600000000117</v>
          </cell>
          <cell r="G863">
            <v>1478.62</v>
          </cell>
        </row>
        <row r="864">
          <cell r="B864">
            <v>860</v>
          </cell>
          <cell r="C864">
            <v>1624.5800000000272</v>
          </cell>
          <cell r="D864">
            <v>2274.41</v>
          </cell>
          <cell r="F864">
            <v>1057.3900000000117</v>
          </cell>
          <cell r="G864">
            <v>1480.35</v>
          </cell>
        </row>
        <row r="865">
          <cell r="B865">
            <v>861</v>
          </cell>
          <cell r="C865">
            <v>1626.4700000000273</v>
          </cell>
          <cell r="D865">
            <v>2277.06</v>
          </cell>
          <cell r="F865">
            <v>1058.6200000000117</v>
          </cell>
          <cell r="G865">
            <v>1482.07</v>
          </cell>
        </row>
        <row r="866">
          <cell r="B866">
            <v>862</v>
          </cell>
          <cell r="C866">
            <v>1628.3600000000274</v>
          </cell>
          <cell r="D866">
            <v>2279.6999999999998</v>
          </cell>
          <cell r="F866">
            <v>1059.8500000000117</v>
          </cell>
          <cell r="G866">
            <v>1483.79</v>
          </cell>
        </row>
        <row r="867">
          <cell r="B867">
            <v>863</v>
          </cell>
          <cell r="C867">
            <v>1630.2500000000275</v>
          </cell>
          <cell r="D867">
            <v>2282.35</v>
          </cell>
          <cell r="F867">
            <v>1061.0800000000118</v>
          </cell>
          <cell r="G867">
            <v>1485.51</v>
          </cell>
        </row>
        <row r="868">
          <cell r="B868">
            <v>864</v>
          </cell>
          <cell r="C868">
            <v>1632.1400000000276</v>
          </cell>
          <cell r="D868">
            <v>2285</v>
          </cell>
          <cell r="F868">
            <v>1062.3100000000118</v>
          </cell>
          <cell r="G868">
            <v>1487.23</v>
          </cell>
        </row>
        <row r="869">
          <cell r="B869">
            <v>865</v>
          </cell>
          <cell r="C869">
            <v>1634.0300000000277</v>
          </cell>
          <cell r="D869">
            <v>2287.64</v>
          </cell>
          <cell r="F869">
            <v>1063.5400000000118</v>
          </cell>
          <cell r="G869">
            <v>1488.96</v>
          </cell>
        </row>
        <row r="870">
          <cell r="B870">
            <v>866</v>
          </cell>
          <cell r="C870">
            <v>1635.9200000000278</v>
          </cell>
          <cell r="D870">
            <v>2290.29</v>
          </cell>
          <cell r="F870">
            <v>1064.7700000000118</v>
          </cell>
          <cell r="G870">
            <v>1490.68</v>
          </cell>
        </row>
        <row r="871">
          <cell r="B871">
            <v>867</v>
          </cell>
          <cell r="C871">
            <v>1637.8100000000279</v>
          </cell>
          <cell r="D871">
            <v>2292.9299999999998</v>
          </cell>
          <cell r="F871">
            <v>1066.0000000000118</v>
          </cell>
          <cell r="G871">
            <v>1492.4</v>
          </cell>
        </row>
        <row r="872">
          <cell r="B872">
            <v>868</v>
          </cell>
          <cell r="C872">
            <v>1639.700000000028</v>
          </cell>
          <cell r="D872">
            <v>2295.58</v>
          </cell>
          <cell r="F872">
            <v>1067.2300000000118</v>
          </cell>
          <cell r="G872">
            <v>1494.12</v>
          </cell>
        </row>
        <row r="873">
          <cell r="B873">
            <v>869</v>
          </cell>
          <cell r="C873">
            <v>1641.5900000000281</v>
          </cell>
          <cell r="D873">
            <v>2298.23</v>
          </cell>
          <cell r="F873">
            <v>1068.4600000000119</v>
          </cell>
          <cell r="G873">
            <v>1495.84</v>
          </cell>
        </row>
        <row r="874">
          <cell r="B874">
            <v>870</v>
          </cell>
          <cell r="C874">
            <v>1643.4800000000282</v>
          </cell>
          <cell r="D874">
            <v>2300.87</v>
          </cell>
          <cell r="F874">
            <v>1069.6900000000119</v>
          </cell>
          <cell r="G874">
            <v>1497.57</v>
          </cell>
        </row>
        <row r="875">
          <cell r="B875">
            <v>871</v>
          </cell>
          <cell r="C875">
            <v>1645.3700000000283</v>
          </cell>
          <cell r="D875">
            <v>2303.52</v>
          </cell>
          <cell r="F875">
            <v>1070.9200000000119</v>
          </cell>
          <cell r="G875">
            <v>1499.29</v>
          </cell>
        </row>
        <row r="876">
          <cell r="B876">
            <v>872</v>
          </cell>
          <cell r="C876">
            <v>1647.2600000000284</v>
          </cell>
          <cell r="D876">
            <v>2306.16</v>
          </cell>
          <cell r="F876">
            <v>1072.1500000000119</v>
          </cell>
          <cell r="G876">
            <v>1501.01</v>
          </cell>
        </row>
        <row r="877">
          <cell r="B877">
            <v>873</v>
          </cell>
          <cell r="C877">
            <v>1649.1500000000285</v>
          </cell>
          <cell r="D877">
            <v>2308.81</v>
          </cell>
          <cell r="F877">
            <v>1073.3800000000119</v>
          </cell>
          <cell r="G877">
            <v>1502.73</v>
          </cell>
        </row>
        <row r="878">
          <cell r="B878">
            <v>874</v>
          </cell>
          <cell r="C878">
            <v>1651.0400000000286</v>
          </cell>
          <cell r="D878">
            <v>2311.46</v>
          </cell>
          <cell r="F878">
            <v>1074.610000000012</v>
          </cell>
          <cell r="G878">
            <v>1504.45</v>
          </cell>
        </row>
        <row r="879">
          <cell r="B879">
            <v>875</v>
          </cell>
          <cell r="C879">
            <v>1652.9300000000287</v>
          </cell>
          <cell r="D879">
            <v>2314.1</v>
          </cell>
          <cell r="F879">
            <v>1075.840000000012</v>
          </cell>
          <cell r="G879">
            <v>1506.18</v>
          </cell>
        </row>
        <row r="880">
          <cell r="B880">
            <v>876</v>
          </cell>
          <cell r="C880">
            <v>1654.8200000000288</v>
          </cell>
          <cell r="D880">
            <v>2316.75</v>
          </cell>
          <cell r="F880">
            <v>1077.070000000012</v>
          </cell>
          <cell r="G880">
            <v>1507.9</v>
          </cell>
        </row>
        <row r="881">
          <cell r="B881">
            <v>877</v>
          </cell>
          <cell r="C881">
            <v>1656.7100000000289</v>
          </cell>
          <cell r="D881">
            <v>2319.39</v>
          </cell>
          <cell r="F881">
            <v>1078.300000000012</v>
          </cell>
          <cell r="G881">
            <v>1509.62</v>
          </cell>
        </row>
        <row r="882">
          <cell r="B882">
            <v>878</v>
          </cell>
          <cell r="C882">
            <v>1658.600000000029</v>
          </cell>
          <cell r="D882">
            <v>2322.04</v>
          </cell>
          <cell r="F882">
            <v>1079.530000000012</v>
          </cell>
          <cell r="G882">
            <v>1511.34</v>
          </cell>
        </row>
        <row r="883">
          <cell r="B883">
            <v>879</v>
          </cell>
          <cell r="C883">
            <v>1660.4900000000291</v>
          </cell>
          <cell r="D883">
            <v>2324.69</v>
          </cell>
          <cell r="F883">
            <v>1080.760000000012</v>
          </cell>
          <cell r="G883">
            <v>1513.06</v>
          </cell>
        </row>
        <row r="884">
          <cell r="B884">
            <v>880</v>
          </cell>
          <cell r="C884">
            <v>1662.3800000000292</v>
          </cell>
          <cell r="D884">
            <v>2327.33</v>
          </cell>
          <cell r="F884">
            <v>1081.9900000000121</v>
          </cell>
          <cell r="G884">
            <v>1514.79</v>
          </cell>
        </row>
        <row r="885">
          <cell r="B885">
            <v>881</v>
          </cell>
          <cell r="C885">
            <v>1664.2700000000293</v>
          </cell>
          <cell r="D885">
            <v>2329.98</v>
          </cell>
          <cell r="F885">
            <v>1083.2200000000121</v>
          </cell>
          <cell r="G885">
            <v>1516.51</v>
          </cell>
        </row>
        <row r="886">
          <cell r="B886">
            <v>882</v>
          </cell>
          <cell r="C886">
            <v>1666.1600000000294</v>
          </cell>
          <cell r="D886">
            <v>2332.62</v>
          </cell>
          <cell r="F886">
            <v>1084.4500000000121</v>
          </cell>
          <cell r="G886">
            <v>1518.23</v>
          </cell>
        </row>
        <row r="887">
          <cell r="B887">
            <v>883</v>
          </cell>
          <cell r="C887">
            <v>1668.0500000000295</v>
          </cell>
          <cell r="D887">
            <v>2335.27</v>
          </cell>
          <cell r="F887">
            <v>1085.6800000000121</v>
          </cell>
          <cell r="G887">
            <v>1519.95</v>
          </cell>
        </row>
        <row r="888">
          <cell r="B888">
            <v>884</v>
          </cell>
          <cell r="C888">
            <v>1669.9400000000296</v>
          </cell>
          <cell r="D888">
            <v>2337.92</v>
          </cell>
          <cell r="F888">
            <v>1086.9100000000121</v>
          </cell>
          <cell r="G888">
            <v>1521.67</v>
          </cell>
        </row>
        <row r="889">
          <cell r="B889">
            <v>885</v>
          </cell>
          <cell r="C889">
            <v>1671.8300000000297</v>
          </cell>
          <cell r="D889">
            <v>2340.56</v>
          </cell>
          <cell r="F889">
            <v>1088.1400000000122</v>
          </cell>
          <cell r="G889">
            <v>1523.4</v>
          </cell>
        </row>
        <row r="890">
          <cell r="B890">
            <v>886</v>
          </cell>
          <cell r="C890">
            <v>1673.7200000000298</v>
          </cell>
          <cell r="D890">
            <v>2343.21</v>
          </cell>
          <cell r="F890">
            <v>1089.3700000000122</v>
          </cell>
          <cell r="G890">
            <v>1525.12</v>
          </cell>
        </row>
        <row r="891">
          <cell r="B891">
            <v>887</v>
          </cell>
          <cell r="C891">
            <v>1675.6100000000299</v>
          </cell>
          <cell r="D891">
            <v>2345.85</v>
          </cell>
          <cell r="F891">
            <v>1090.6000000000122</v>
          </cell>
          <cell r="G891">
            <v>1526.84</v>
          </cell>
        </row>
        <row r="892">
          <cell r="B892">
            <v>888</v>
          </cell>
          <cell r="C892">
            <v>1677.50000000003</v>
          </cell>
          <cell r="D892">
            <v>2348.5</v>
          </cell>
          <cell r="F892">
            <v>1091.8300000000122</v>
          </cell>
          <cell r="G892">
            <v>1528.56</v>
          </cell>
        </row>
        <row r="893">
          <cell r="B893">
            <v>889</v>
          </cell>
          <cell r="C893">
            <v>1679.3900000000301</v>
          </cell>
          <cell r="D893">
            <v>2351.15</v>
          </cell>
          <cell r="F893">
            <v>1093.0600000000122</v>
          </cell>
          <cell r="G893">
            <v>1530.28</v>
          </cell>
        </row>
        <row r="894">
          <cell r="B894">
            <v>890</v>
          </cell>
          <cell r="C894">
            <v>1681.2800000000302</v>
          </cell>
          <cell r="D894">
            <v>2353.79</v>
          </cell>
          <cell r="F894">
            <v>1094.2900000000122</v>
          </cell>
          <cell r="G894">
            <v>1532.01</v>
          </cell>
        </row>
        <row r="895">
          <cell r="B895">
            <v>891</v>
          </cell>
          <cell r="C895">
            <v>1683.1700000000303</v>
          </cell>
          <cell r="D895">
            <v>2356.44</v>
          </cell>
          <cell r="F895">
            <v>1095.5200000000123</v>
          </cell>
          <cell r="G895">
            <v>1533.73</v>
          </cell>
        </row>
        <row r="896">
          <cell r="B896">
            <v>892</v>
          </cell>
          <cell r="C896">
            <v>1685.0600000000304</v>
          </cell>
          <cell r="D896">
            <v>2359.08</v>
          </cell>
          <cell r="F896">
            <v>1096.7500000000123</v>
          </cell>
          <cell r="G896">
            <v>1535.45</v>
          </cell>
        </row>
        <row r="897">
          <cell r="B897">
            <v>893</v>
          </cell>
          <cell r="C897">
            <v>1686.9500000000305</v>
          </cell>
          <cell r="D897">
            <v>2361.73</v>
          </cell>
          <cell r="F897">
            <v>1097.9800000000123</v>
          </cell>
          <cell r="G897">
            <v>1537.17</v>
          </cell>
        </row>
        <row r="898">
          <cell r="B898">
            <v>894</v>
          </cell>
          <cell r="C898">
            <v>1688.8400000000306</v>
          </cell>
          <cell r="D898">
            <v>2364.38</v>
          </cell>
          <cell r="F898">
            <v>1099.2100000000123</v>
          </cell>
          <cell r="G898">
            <v>1538.89</v>
          </cell>
        </row>
        <row r="899">
          <cell r="B899">
            <v>895</v>
          </cell>
          <cell r="C899">
            <v>1690.7300000000307</v>
          </cell>
          <cell r="D899">
            <v>2367.02</v>
          </cell>
          <cell r="F899">
            <v>1100.4400000000123</v>
          </cell>
          <cell r="G899">
            <v>1540.62</v>
          </cell>
        </row>
        <row r="900">
          <cell r="B900">
            <v>896</v>
          </cell>
          <cell r="C900">
            <v>1692.6200000000308</v>
          </cell>
          <cell r="D900">
            <v>2369.67</v>
          </cell>
          <cell r="F900">
            <v>1101.6700000000124</v>
          </cell>
          <cell r="G900">
            <v>1542.34</v>
          </cell>
        </row>
        <row r="901">
          <cell r="B901">
            <v>897</v>
          </cell>
          <cell r="C901">
            <v>1694.5100000000309</v>
          </cell>
          <cell r="D901">
            <v>2372.31</v>
          </cell>
          <cell r="F901">
            <v>1102.9000000000124</v>
          </cell>
          <cell r="G901">
            <v>1544.06</v>
          </cell>
        </row>
        <row r="902">
          <cell r="B902">
            <v>898</v>
          </cell>
          <cell r="C902">
            <v>1696.400000000031</v>
          </cell>
          <cell r="D902">
            <v>2374.96</v>
          </cell>
          <cell r="F902">
            <v>1104.1300000000124</v>
          </cell>
          <cell r="G902">
            <v>1545.78</v>
          </cell>
        </row>
        <row r="903">
          <cell r="B903">
            <v>899</v>
          </cell>
          <cell r="C903">
            <v>1698.2900000000311</v>
          </cell>
          <cell r="D903">
            <v>2377.61</v>
          </cell>
          <cell r="F903">
            <v>1105.3600000000124</v>
          </cell>
          <cell r="G903">
            <v>1547.5</v>
          </cell>
        </row>
        <row r="904">
          <cell r="B904">
            <v>900</v>
          </cell>
          <cell r="C904">
            <v>1700.1800000000312</v>
          </cell>
          <cell r="D904">
            <v>2380.25</v>
          </cell>
          <cell r="F904">
            <v>1106.5900000000124</v>
          </cell>
          <cell r="G904">
            <v>1549.23</v>
          </cell>
        </row>
        <row r="905">
          <cell r="B905">
            <v>901</v>
          </cell>
          <cell r="C905">
            <v>1702.0700000000313</v>
          </cell>
          <cell r="D905">
            <v>2382.9</v>
          </cell>
          <cell r="F905">
            <v>1107.8200000000124</v>
          </cell>
          <cell r="G905">
            <v>1550.95</v>
          </cell>
        </row>
        <row r="906">
          <cell r="B906">
            <v>902</v>
          </cell>
          <cell r="C906">
            <v>1703.9600000000314</v>
          </cell>
          <cell r="D906">
            <v>2385.54</v>
          </cell>
          <cell r="F906">
            <v>1109.0500000000125</v>
          </cell>
          <cell r="G906">
            <v>1552.67</v>
          </cell>
        </row>
        <row r="907">
          <cell r="B907">
            <v>903</v>
          </cell>
          <cell r="C907">
            <v>1705.8500000000315</v>
          </cell>
          <cell r="D907">
            <v>2388.19</v>
          </cell>
          <cell r="F907">
            <v>1110.2800000000125</v>
          </cell>
          <cell r="G907">
            <v>1554.39</v>
          </cell>
        </row>
        <row r="908">
          <cell r="B908">
            <v>904</v>
          </cell>
          <cell r="C908">
            <v>1707.7400000000316</v>
          </cell>
          <cell r="D908">
            <v>2390.84</v>
          </cell>
          <cell r="F908">
            <v>1111.5100000000125</v>
          </cell>
          <cell r="G908">
            <v>1556.11</v>
          </cell>
        </row>
        <row r="909">
          <cell r="B909">
            <v>905</v>
          </cell>
          <cell r="C909">
            <v>1709.6300000000317</v>
          </cell>
          <cell r="D909">
            <v>2393.48</v>
          </cell>
          <cell r="F909">
            <v>1112.7400000000125</v>
          </cell>
          <cell r="G909">
            <v>1557.84</v>
          </cell>
        </row>
        <row r="910">
          <cell r="B910">
            <v>906</v>
          </cell>
          <cell r="C910">
            <v>1711.5200000000318</v>
          </cell>
          <cell r="D910">
            <v>2396.13</v>
          </cell>
          <cell r="F910">
            <v>1113.9700000000125</v>
          </cell>
          <cell r="G910">
            <v>1559.56</v>
          </cell>
        </row>
        <row r="911">
          <cell r="B911">
            <v>907</v>
          </cell>
          <cell r="C911">
            <v>1713.4100000000319</v>
          </cell>
          <cell r="D911">
            <v>2398.77</v>
          </cell>
          <cell r="F911">
            <v>1115.2000000000126</v>
          </cell>
          <cell r="G911">
            <v>1561.28</v>
          </cell>
        </row>
        <row r="912">
          <cell r="B912">
            <v>908</v>
          </cell>
          <cell r="C912">
            <v>1715.300000000032</v>
          </cell>
          <cell r="D912">
            <v>2401.42</v>
          </cell>
          <cell r="F912">
            <v>1116.4300000000126</v>
          </cell>
          <cell r="G912">
            <v>1563</v>
          </cell>
        </row>
        <row r="913">
          <cell r="B913">
            <v>909</v>
          </cell>
          <cell r="C913">
            <v>1717.1900000000321</v>
          </cell>
          <cell r="D913">
            <v>2404.0700000000002</v>
          </cell>
          <cell r="F913">
            <v>1117.6600000000126</v>
          </cell>
          <cell r="G913">
            <v>1564.72</v>
          </cell>
        </row>
        <row r="914">
          <cell r="B914">
            <v>910</v>
          </cell>
          <cell r="C914">
            <v>1719.0800000000322</v>
          </cell>
          <cell r="D914">
            <v>2406.71</v>
          </cell>
          <cell r="F914">
            <v>1118.8900000000126</v>
          </cell>
          <cell r="G914">
            <v>1566.45</v>
          </cell>
        </row>
        <row r="915">
          <cell r="B915">
            <v>911</v>
          </cell>
          <cell r="C915">
            <v>1720.9700000000323</v>
          </cell>
          <cell r="D915">
            <v>2409.36</v>
          </cell>
          <cell r="F915">
            <v>1120.1200000000126</v>
          </cell>
          <cell r="G915">
            <v>1568.17</v>
          </cell>
        </row>
        <row r="916">
          <cell r="B916">
            <v>912</v>
          </cell>
          <cell r="C916">
            <v>1722.8600000000324</v>
          </cell>
          <cell r="D916">
            <v>2412</v>
          </cell>
          <cell r="F916">
            <v>1121.3500000000126</v>
          </cell>
          <cell r="G916">
            <v>1569.89</v>
          </cell>
        </row>
        <row r="917">
          <cell r="B917">
            <v>913</v>
          </cell>
          <cell r="C917">
            <v>1724.7500000000325</v>
          </cell>
          <cell r="D917">
            <v>2414.65</v>
          </cell>
          <cell r="F917">
            <v>1122.5800000000127</v>
          </cell>
          <cell r="G917">
            <v>1571.61</v>
          </cell>
        </row>
        <row r="918">
          <cell r="B918">
            <v>914</v>
          </cell>
          <cell r="C918">
            <v>1726.6400000000326</v>
          </cell>
          <cell r="D918">
            <v>2417.3000000000002</v>
          </cell>
          <cell r="F918">
            <v>1123.8100000000127</v>
          </cell>
          <cell r="G918">
            <v>1573.33</v>
          </cell>
        </row>
        <row r="919">
          <cell r="B919">
            <v>915</v>
          </cell>
          <cell r="C919">
            <v>1728.5300000000327</v>
          </cell>
          <cell r="D919">
            <v>2419.94</v>
          </cell>
          <cell r="F919">
            <v>1125.0400000000127</v>
          </cell>
          <cell r="G919">
            <v>1575.06</v>
          </cell>
        </row>
        <row r="920">
          <cell r="B920">
            <v>916</v>
          </cell>
          <cell r="C920">
            <v>1730.4200000000328</v>
          </cell>
          <cell r="D920">
            <v>2422.59</v>
          </cell>
          <cell r="F920">
            <v>1126.2700000000127</v>
          </cell>
          <cell r="G920">
            <v>1576.78</v>
          </cell>
        </row>
        <row r="921">
          <cell r="B921">
            <v>917</v>
          </cell>
          <cell r="C921">
            <v>1732.3100000000329</v>
          </cell>
          <cell r="D921">
            <v>2425.23</v>
          </cell>
          <cell r="F921">
            <v>1127.5000000000127</v>
          </cell>
          <cell r="G921">
            <v>1578.5</v>
          </cell>
        </row>
        <row r="922">
          <cell r="B922">
            <v>918</v>
          </cell>
          <cell r="C922">
            <v>1734.200000000033</v>
          </cell>
          <cell r="D922">
            <v>2427.88</v>
          </cell>
          <cell r="F922">
            <v>1128.7300000000128</v>
          </cell>
          <cell r="G922">
            <v>1580.22</v>
          </cell>
        </row>
        <row r="923">
          <cell r="B923">
            <v>919</v>
          </cell>
          <cell r="C923">
            <v>1736.0900000000331</v>
          </cell>
          <cell r="D923">
            <v>2430.5300000000002</v>
          </cell>
          <cell r="F923">
            <v>1129.9600000000128</v>
          </cell>
          <cell r="G923">
            <v>1581.94</v>
          </cell>
        </row>
        <row r="924">
          <cell r="B924">
            <v>920</v>
          </cell>
          <cell r="C924">
            <v>1737.9800000000332</v>
          </cell>
          <cell r="D924">
            <v>2433.17</v>
          </cell>
          <cell r="F924">
            <v>1131.1900000000128</v>
          </cell>
          <cell r="G924">
            <v>1583.67</v>
          </cell>
        </row>
        <row r="925">
          <cell r="B925">
            <v>921</v>
          </cell>
          <cell r="C925">
            <v>1739.8700000000333</v>
          </cell>
          <cell r="D925">
            <v>2435.8200000000002</v>
          </cell>
          <cell r="F925">
            <v>1132.4200000000128</v>
          </cell>
          <cell r="G925">
            <v>1585.39</v>
          </cell>
        </row>
        <row r="926">
          <cell r="B926">
            <v>922</v>
          </cell>
          <cell r="C926">
            <v>1741.7600000000334</v>
          </cell>
          <cell r="D926">
            <v>2438.46</v>
          </cell>
          <cell r="F926">
            <v>1133.6500000000128</v>
          </cell>
          <cell r="G926">
            <v>1587.11</v>
          </cell>
        </row>
        <row r="927">
          <cell r="B927">
            <v>923</v>
          </cell>
          <cell r="C927">
            <v>1743.6500000000335</v>
          </cell>
          <cell r="D927">
            <v>2441.11</v>
          </cell>
          <cell r="F927">
            <v>1134.8800000000128</v>
          </cell>
          <cell r="G927">
            <v>1588.83</v>
          </cell>
        </row>
        <row r="928">
          <cell r="B928">
            <v>924</v>
          </cell>
          <cell r="C928">
            <v>1745.5400000000336</v>
          </cell>
          <cell r="D928">
            <v>2443.7600000000002</v>
          </cell>
          <cell r="F928">
            <v>1136.1100000000129</v>
          </cell>
          <cell r="G928">
            <v>1590.55</v>
          </cell>
        </row>
        <row r="929">
          <cell r="B929">
            <v>925</v>
          </cell>
          <cell r="C929">
            <v>1747.4300000000337</v>
          </cell>
          <cell r="D929">
            <v>2446.4</v>
          </cell>
          <cell r="F929">
            <v>1137.3400000000129</v>
          </cell>
          <cell r="G929">
            <v>1592.28</v>
          </cell>
        </row>
        <row r="930">
          <cell r="B930">
            <v>926</v>
          </cell>
          <cell r="C930">
            <v>1749.3200000000338</v>
          </cell>
          <cell r="D930">
            <v>2449.0500000000002</v>
          </cell>
          <cell r="F930">
            <v>1138.5700000000129</v>
          </cell>
          <cell r="G930">
            <v>1594</v>
          </cell>
        </row>
        <row r="931">
          <cell r="B931">
            <v>927</v>
          </cell>
          <cell r="C931">
            <v>1751.2100000000339</v>
          </cell>
          <cell r="D931">
            <v>2451.69</v>
          </cell>
          <cell r="F931">
            <v>1139.8000000000129</v>
          </cell>
          <cell r="G931">
            <v>1595.72</v>
          </cell>
        </row>
        <row r="932">
          <cell r="B932">
            <v>928</v>
          </cell>
          <cell r="C932">
            <v>1753.100000000034</v>
          </cell>
          <cell r="D932">
            <v>2454.34</v>
          </cell>
          <cell r="F932">
            <v>1141.0300000000129</v>
          </cell>
          <cell r="G932">
            <v>1597.44</v>
          </cell>
        </row>
        <row r="933">
          <cell r="B933">
            <v>929</v>
          </cell>
          <cell r="C933">
            <v>1754.9900000000341</v>
          </cell>
          <cell r="D933">
            <v>2456.9899999999998</v>
          </cell>
          <cell r="F933">
            <v>1142.260000000013</v>
          </cell>
          <cell r="G933">
            <v>1599.16</v>
          </cell>
        </row>
        <row r="934">
          <cell r="B934">
            <v>930</v>
          </cell>
          <cell r="C934">
            <v>1756.8800000000342</v>
          </cell>
          <cell r="D934">
            <v>2459.63</v>
          </cell>
          <cell r="F934">
            <v>1143.490000000013</v>
          </cell>
          <cell r="G934">
            <v>1600.89</v>
          </cell>
        </row>
        <row r="935">
          <cell r="B935">
            <v>931</v>
          </cell>
          <cell r="C935">
            <v>1758.7700000000343</v>
          </cell>
          <cell r="D935">
            <v>2462.2800000000002</v>
          </cell>
          <cell r="F935">
            <v>1144.720000000013</v>
          </cell>
          <cell r="G935">
            <v>1602.61</v>
          </cell>
        </row>
        <row r="936">
          <cell r="B936">
            <v>932</v>
          </cell>
          <cell r="C936">
            <v>1760.6600000000344</v>
          </cell>
          <cell r="D936">
            <v>2464.92</v>
          </cell>
          <cell r="F936">
            <v>1145.950000000013</v>
          </cell>
          <cell r="G936">
            <v>1604.33</v>
          </cell>
        </row>
        <row r="937">
          <cell r="B937">
            <v>933</v>
          </cell>
          <cell r="C937">
            <v>1762.5500000000345</v>
          </cell>
          <cell r="D937">
            <v>2467.5700000000002</v>
          </cell>
          <cell r="F937">
            <v>1147.180000000013</v>
          </cell>
          <cell r="G937">
            <v>1606.05</v>
          </cell>
        </row>
        <row r="938">
          <cell r="B938">
            <v>934</v>
          </cell>
          <cell r="C938">
            <v>1764.4400000000346</v>
          </cell>
          <cell r="D938">
            <v>2470.2199999999998</v>
          </cell>
          <cell r="F938">
            <v>1148.410000000013</v>
          </cell>
          <cell r="G938">
            <v>1607.77</v>
          </cell>
        </row>
        <row r="939">
          <cell r="B939">
            <v>935</v>
          </cell>
          <cell r="C939">
            <v>1766.3300000000347</v>
          </cell>
          <cell r="D939">
            <v>2472.86</v>
          </cell>
          <cell r="F939">
            <v>1149.6400000000131</v>
          </cell>
          <cell r="G939">
            <v>1609.5</v>
          </cell>
        </row>
        <row r="940">
          <cell r="B940">
            <v>936</v>
          </cell>
          <cell r="C940">
            <v>1768.2200000000348</v>
          </cell>
          <cell r="D940">
            <v>2475.5100000000002</v>
          </cell>
          <cell r="F940">
            <v>1150.8700000000131</v>
          </cell>
          <cell r="G940">
            <v>1611.22</v>
          </cell>
        </row>
        <row r="941">
          <cell r="B941">
            <v>937</v>
          </cell>
          <cell r="C941">
            <v>1770.1100000000349</v>
          </cell>
          <cell r="D941">
            <v>2478.15</v>
          </cell>
          <cell r="F941">
            <v>1152.1000000000131</v>
          </cell>
          <cell r="G941">
            <v>1612.94</v>
          </cell>
        </row>
        <row r="942">
          <cell r="B942">
            <v>938</v>
          </cell>
          <cell r="C942">
            <v>1772.000000000035</v>
          </cell>
          <cell r="D942">
            <v>2480.8000000000002</v>
          </cell>
          <cell r="F942">
            <v>1153.3300000000131</v>
          </cell>
          <cell r="G942">
            <v>1614.66</v>
          </cell>
        </row>
        <row r="943">
          <cell r="B943">
            <v>939</v>
          </cell>
          <cell r="C943">
            <v>1773.8900000000351</v>
          </cell>
          <cell r="D943">
            <v>2483.4499999999998</v>
          </cell>
          <cell r="F943">
            <v>1154.5600000000131</v>
          </cell>
          <cell r="G943">
            <v>1616.38</v>
          </cell>
        </row>
        <row r="944">
          <cell r="B944">
            <v>940</v>
          </cell>
          <cell r="C944">
            <v>1775.7800000000352</v>
          </cell>
          <cell r="D944">
            <v>2486.09</v>
          </cell>
          <cell r="F944">
            <v>1155.7900000000132</v>
          </cell>
          <cell r="G944">
            <v>1618.11</v>
          </cell>
        </row>
        <row r="945">
          <cell r="B945">
            <v>941</v>
          </cell>
          <cell r="C945">
            <v>1777.6700000000353</v>
          </cell>
          <cell r="D945">
            <v>2488.7399999999998</v>
          </cell>
          <cell r="F945">
            <v>1157.0200000000132</v>
          </cell>
          <cell r="G945">
            <v>1619.83</v>
          </cell>
        </row>
        <row r="946">
          <cell r="B946">
            <v>942</v>
          </cell>
          <cell r="C946">
            <v>1779.5600000000354</v>
          </cell>
          <cell r="D946">
            <v>2491.38</v>
          </cell>
          <cell r="F946">
            <v>1158.2500000000132</v>
          </cell>
          <cell r="G946">
            <v>1621.55</v>
          </cell>
        </row>
        <row r="947">
          <cell r="B947">
            <v>943</v>
          </cell>
          <cell r="C947">
            <v>1781.4500000000355</v>
          </cell>
          <cell r="D947">
            <v>2494.0300000000002</v>
          </cell>
          <cell r="F947">
            <v>1159.4800000000132</v>
          </cell>
          <cell r="G947">
            <v>1623.27</v>
          </cell>
        </row>
        <row r="948">
          <cell r="B948">
            <v>944</v>
          </cell>
          <cell r="C948">
            <v>1783.3400000000356</v>
          </cell>
          <cell r="D948">
            <v>2496.6799999999998</v>
          </cell>
          <cell r="F948">
            <v>1160.7100000000132</v>
          </cell>
          <cell r="G948">
            <v>1624.99</v>
          </cell>
        </row>
        <row r="949">
          <cell r="B949">
            <v>945</v>
          </cell>
          <cell r="C949">
            <v>1785.2300000000357</v>
          </cell>
          <cell r="D949">
            <v>2499.3200000000002</v>
          </cell>
          <cell r="F949">
            <v>1161.9400000000132</v>
          </cell>
          <cell r="G949">
            <v>1626.72</v>
          </cell>
        </row>
        <row r="950">
          <cell r="B950">
            <v>946</v>
          </cell>
          <cell r="C950">
            <v>1787.1200000000358</v>
          </cell>
          <cell r="D950">
            <v>2501.9699999999998</v>
          </cell>
          <cell r="F950">
            <v>1163.1700000000133</v>
          </cell>
          <cell r="G950">
            <v>1628.44</v>
          </cell>
        </row>
        <row r="951">
          <cell r="B951">
            <v>947</v>
          </cell>
          <cell r="C951">
            <v>1789.0100000000359</v>
          </cell>
          <cell r="D951">
            <v>2504.61</v>
          </cell>
          <cell r="F951">
            <v>1164.4000000000133</v>
          </cell>
          <cell r="G951">
            <v>1630.16</v>
          </cell>
        </row>
        <row r="952">
          <cell r="B952">
            <v>948</v>
          </cell>
          <cell r="C952">
            <v>1790.900000000036</v>
          </cell>
          <cell r="D952">
            <v>2507.2600000000002</v>
          </cell>
          <cell r="F952">
            <v>1165.6300000000133</v>
          </cell>
          <cell r="G952">
            <v>1631.88</v>
          </cell>
        </row>
        <row r="953">
          <cell r="B953">
            <v>949</v>
          </cell>
          <cell r="C953">
            <v>1792.7900000000361</v>
          </cell>
          <cell r="D953">
            <v>2509.91</v>
          </cell>
          <cell r="F953">
            <v>1166.8600000000133</v>
          </cell>
          <cell r="G953">
            <v>1633.6</v>
          </cell>
        </row>
        <row r="954">
          <cell r="B954">
            <v>950</v>
          </cell>
          <cell r="C954">
            <v>1794.6800000000362</v>
          </cell>
          <cell r="D954">
            <v>2512.5500000000002</v>
          </cell>
          <cell r="F954">
            <v>1168.0900000000133</v>
          </cell>
          <cell r="G954">
            <v>1635.33</v>
          </cell>
        </row>
        <row r="955">
          <cell r="B955">
            <v>951</v>
          </cell>
          <cell r="C955">
            <v>1796.5700000000363</v>
          </cell>
          <cell r="D955">
            <v>2515.1999999999998</v>
          </cell>
          <cell r="F955">
            <v>1169.3200000000134</v>
          </cell>
          <cell r="G955">
            <v>1637.05</v>
          </cell>
        </row>
        <row r="956">
          <cell r="B956">
            <v>952</v>
          </cell>
          <cell r="C956">
            <v>1798.4600000000364</v>
          </cell>
          <cell r="D956">
            <v>2517.84</v>
          </cell>
          <cell r="F956">
            <v>1170.5500000000134</v>
          </cell>
          <cell r="G956">
            <v>1638.77</v>
          </cell>
        </row>
        <row r="957">
          <cell r="B957">
            <v>953</v>
          </cell>
          <cell r="C957">
            <v>1800.3500000000365</v>
          </cell>
          <cell r="D957">
            <v>2520.4899999999998</v>
          </cell>
          <cell r="F957">
            <v>1171.7800000000134</v>
          </cell>
          <cell r="G957">
            <v>1640.49</v>
          </cell>
        </row>
        <row r="958">
          <cell r="B958">
            <v>954</v>
          </cell>
          <cell r="C958">
            <v>1802.2400000000366</v>
          </cell>
          <cell r="D958">
            <v>2523.14</v>
          </cell>
          <cell r="F958">
            <v>1173.0100000000134</v>
          </cell>
          <cell r="G958">
            <v>1642.21</v>
          </cell>
        </row>
        <row r="959">
          <cell r="B959">
            <v>955</v>
          </cell>
          <cell r="C959">
            <v>1804.1300000000367</v>
          </cell>
          <cell r="D959">
            <v>2525.7800000000002</v>
          </cell>
          <cell r="F959">
            <v>1174.2400000000134</v>
          </cell>
          <cell r="G959">
            <v>1643.94</v>
          </cell>
        </row>
        <row r="960">
          <cell r="B960">
            <v>956</v>
          </cell>
          <cell r="C960">
            <v>1806.0200000000368</v>
          </cell>
          <cell r="D960">
            <v>2528.4299999999998</v>
          </cell>
          <cell r="F960">
            <v>1175.4700000000134</v>
          </cell>
          <cell r="G960">
            <v>1645.66</v>
          </cell>
        </row>
        <row r="961">
          <cell r="B961">
            <v>957</v>
          </cell>
          <cell r="C961">
            <v>1807.9100000000369</v>
          </cell>
          <cell r="D961">
            <v>2531.0700000000002</v>
          </cell>
          <cell r="F961">
            <v>1176.7000000000135</v>
          </cell>
          <cell r="G961">
            <v>1647.38</v>
          </cell>
        </row>
        <row r="962">
          <cell r="B962">
            <v>958</v>
          </cell>
          <cell r="C962">
            <v>1809.800000000037</v>
          </cell>
          <cell r="D962">
            <v>2533.7199999999998</v>
          </cell>
          <cell r="F962">
            <v>1177.9300000000135</v>
          </cell>
          <cell r="G962">
            <v>1649.1</v>
          </cell>
        </row>
        <row r="963">
          <cell r="B963">
            <v>959</v>
          </cell>
          <cell r="C963">
            <v>1811.6900000000371</v>
          </cell>
          <cell r="D963">
            <v>2536.37</v>
          </cell>
          <cell r="F963">
            <v>1179.1600000000135</v>
          </cell>
          <cell r="G963">
            <v>1650.82</v>
          </cell>
        </row>
        <row r="964">
          <cell r="B964">
            <v>960</v>
          </cell>
          <cell r="C964">
            <v>1813.5800000000372</v>
          </cell>
          <cell r="D964">
            <v>2539.0100000000002</v>
          </cell>
          <cell r="F964">
            <v>1180.3900000000135</v>
          </cell>
          <cell r="G964">
            <v>1652.55</v>
          </cell>
        </row>
        <row r="965">
          <cell r="B965">
            <v>961</v>
          </cell>
          <cell r="C965">
            <v>1815.4700000000373</v>
          </cell>
          <cell r="D965">
            <v>2541.66</v>
          </cell>
          <cell r="F965">
            <v>1181.6200000000135</v>
          </cell>
          <cell r="G965">
            <v>1654.27</v>
          </cell>
        </row>
        <row r="966">
          <cell r="B966">
            <v>962</v>
          </cell>
          <cell r="C966">
            <v>1817.3600000000374</v>
          </cell>
          <cell r="D966">
            <v>2544.3000000000002</v>
          </cell>
          <cell r="F966">
            <v>1182.8500000000136</v>
          </cell>
          <cell r="G966">
            <v>1655.99</v>
          </cell>
        </row>
        <row r="967">
          <cell r="B967">
            <v>963</v>
          </cell>
          <cell r="C967">
            <v>1819.2500000000375</v>
          </cell>
          <cell r="D967">
            <v>2546.9499999999998</v>
          </cell>
          <cell r="F967">
            <v>1184.0800000000136</v>
          </cell>
          <cell r="G967">
            <v>1657.71</v>
          </cell>
        </row>
        <row r="968">
          <cell r="B968">
            <v>964</v>
          </cell>
          <cell r="C968">
            <v>1821.1400000000376</v>
          </cell>
          <cell r="D968">
            <v>2549.6</v>
          </cell>
          <cell r="F968">
            <v>1185.3100000000136</v>
          </cell>
          <cell r="G968">
            <v>1659.43</v>
          </cell>
        </row>
        <row r="969">
          <cell r="B969">
            <v>965</v>
          </cell>
          <cell r="C969">
            <v>1823.0300000000377</v>
          </cell>
          <cell r="D969">
            <v>2552.2399999999998</v>
          </cell>
          <cell r="F969">
            <v>1186.5400000000136</v>
          </cell>
          <cell r="G969">
            <v>1661.16</v>
          </cell>
        </row>
        <row r="970">
          <cell r="B970">
            <v>966</v>
          </cell>
          <cell r="C970">
            <v>1824.9200000000378</v>
          </cell>
          <cell r="D970">
            <v>2554.89</v>
          </cell>
          <cell r="F970">
            <v>1187.7700000000136</v>
          </cell>
          <cell r="G970">
            <v>1662.88</v>
          </cell>
        </row>
        <row r="971">
          <cell r="B971">
            <v>967</v>
          </cell>
          <cell r="C971">
            <v>1826.8100000000379</v>
          </cell>
          <cell r="D971">
            <v>2557.5300000000002</v>
          </cell>
          <cell r="F971">
            <v>1189.0000000000136</v>
          </cell>
          <cell r="G971">
            <v>1664.6</v>
          </cell>
        </row>
        <row r="972">
          <cell r="B972">
            <v>968</v>
          </cell>
          <cell r="C972">
            <v>1828.700000000038</v>
          </cell>
          <cell r="D972">
            <v>2560.1799999999998</v>
          </cell>
          <cell r="F972">
            <v>1190.2300000000137</v>
          </cell>
          <cell r="G972">
            <v>1666.32</v>
          </cell>
        </row>
        <row r="973">
          <cell r="B973">
            <v>969</v>
          </cell>
          <cell r="C973">
            <v>1830.5900000000381</v>
          </cell>
          <cell r="D973">
            <v>2562.83</v>
          </cell>
          <cell r="F973">
            <v>1191.4600000000137</v>
          </cell>
          <cell r="G973">
            <v>1668.04</v>
          </cell>
        </row>
        <row r="974">
          <cell r="B974">
            <v>970</v>
          </cell>
          <cell r="C974">
            <v>1832.4800000000382</v>
          </cell>
          <cell r="D974">
            <v>2565.4699999999998</v>
          </cell>
          <cell r="F974">
            <v>1192.6900000000137</v>
          </cell>
          <cell r="G974">
            <v>1669.77</v>
          </cell>
        </row>
        <row r="975">
          <cell r="B975">
            <v>971</v>
          </cell>
          <cell r="C975">
            <v>1834.3700000000383</v>
          </cell>
          <cell r="D975">
            <v>2568.12</v>
          </cell>
          <cell r="F975">
            <v>1193.9200000000137</v>
          </cell>
          <cell r="G975">
            <v>1671.49</v>
          </cell>
        </row>
        <row r="976">
          <cell r="B976">
            <v>972</v>
          </cell>
          <cell r="C976">
            <v>1836.2600000000384</v>
          </cell>
          <cell r="D976">
            <v>2570.7600000000002</v>
          </cell>
          <cell r="F976">
            <v>1195.1500000000137</v>
          </cell>
          <cell r="G976">
            <v>1673.21</v>
          </cell>
        </row>
        <row r="977">
          <cell r="B977">
            <v>973</v>
          </cell>
          <cell r="C977">
            <v>1838.1500000000385</v>
          </cell>
          <cell r="D977">
            <v>2573.41</v>
          </cell>
          <cell r="F977">
            <v>1196.3800000000138</v>
          </cell>
          <cell r="G977">
            <v>1674.93</v>
          </cell>
        </row>
        <row r="978">
          <cell r="B978">
            <v>974</v>
          </cell>
          <cell r="C978">
            <v>1840.0400000000386</v>
          </cell>
          <cell r="D978">
            <v>2576.06</v>
          </cell>
          <cell r="F978">
            <v>1197.6100000000138</v>
          </cell>
          <cell r="G978">
            <v>1676.65</v>
          </cell>
        </row>
        <row r="979">
          <cell r="B979">
            <v>975</v>
          </cell>
          <cell r="C979">
            <v>1841.9300000000387</v>
          </cell>
          <cell r="D979">
            <v>2578.6999999999998</v>
          </cell>
          <cell r="F979">
            <v>1198.8400000000138</v>
          </cell>
          <cell r="G979">
            <v>1678.38</v>
          </cell>
        </row>
        <row r="980">
          <cell r="B980">
            <v>976</v>
          </cell>
          <cell r="C980">
            <v>1843.8200000000388</v>
          </cell>
          <cell r="D980">
            <v>2581.35</v>
          </cell>
          <cell r="F980">
            <v>1200.0700000000138</v>
          </cell>
          <cell r="G980">
            <v>1680.1</v>
          </cell>
        </row>
        <row r="981">
          <cell r="B981">
            <v>977</v>
          </cell>
          <cell r="C981">
            <v>1845.7100000000389</v>
          </cell>
          <cell r="D981">
            <v>2583.9899999999998</v>
          </cell>
          <cell r="F981">
            <v>1201.3000000000138</v>
          </cell>
          <cell r="G981">
            <v>1681.82</v>
          </cell>
        </row>
        <row r="982">
          <cell r="B982">
            <v>978</v>
          </cell>
          <cell r="C982">
            <v>1847.600000000039</v>
          </cell>
          <cell r="D982">
            <v>2586.64</v>
          </cell>
          <cell r="F982">
            <v>1202.5300000000138</v>
          </cell>
          <cell r="G982">
            <v>1683.54</v>
          </cell>
        </row>
        <row r="983">
          <cell r="B983">
            <v>979</v>
          </cell>
          <cell r="C983">
            <v>1849.4900000000391</v>
          </cell>
          <cell r="D983">
            <v>2589.29</v>
          </cell>
          <cell r="F983">
            <v>1203.7600000000139</v>
          </cell>
          <cell r="G983">
            <v>1685.26</v>
          </cell>
        </row>
        <row r="984">
          <cell r="B984">
            <v>980</v>
          </cell>
          <cell r="C984">
            <v>1851.3800000000392</v>
          </cell>
          <cell r="D984">
            <v>2591.9299999999998</v>
          </cell>
          <cell r="F984">
            <v>1204.9900000000139</v>
          </cell>
          <cell r="G984">
            <v>1686.99</v>
          </cell>
        </row>
        <row r="985">
          <cell r="B985">
            <v>981</v>
          </cell>
          <cell r="C985">
            <v>1853.2700000000393</v>
          </cell>
          <cell r="D985">
            <v>2594.58</v>
          </cell>
          <cell r="F985">
            <v>1206.2200000000139</v>
          </cell>
          <cell r="G985">
            <v>1688.71</v>
          </cell>
        </row>
        <row r="986">
          <cell r="B986">
            <v>982</v>
          </cell>
          <cell r="C986">
            <v>1855.1600000000394</v>
          </cell>
          <cell r="D986">
            <v>2597.2199999999998</v>
          </cell>
          <cell r="F986">
            <v>1207.4500000000139</v>
          </cell>
          <cell r="G986">
            <v>1690.43</v>
          </cell>
        </row>
        <row r="987">
          <cell r="B987">
            <v>983</v>
          </cell>
          <cell r="C987">
            <v>1857.0500000000395</v>
          </cell>
          <cell r="D987">
            <v>2599.87</v>
          </cell>
          <cell r="F987">
            <v>1208.6800000000139</v>
          </cell>
          <cell r="G987">
            <v>1692.15</v>
          </cell>
        </row>
        <row r="988">
          <cell r="B988">
            <v>984</v>
          </cell>
          <cell r="C988">
            <v>1858.9400000000396</v>
          </cell>
          <cell r="D988">
            <v>2602.52</v>
          </cell>
          <cell r="F988">
            <v>1209.910000000014</v>
          </cell>
          <cell r="G988">
            <v>1693.87</v>
          </cell>
        </row>
        <row r="989">
          <cell r="B989">
            <v>985</v>
          </cell>
          <cell r="C989">
            <v>1860.8300000000397</v>
          </cell>
          <cell r="D989">
            <v>2605.16</v>
          </cell>
          <cell r="F989">
            <v>1211.140000000014</v>
          </cell>
          <cell r="G989">
            <v>1695.6</v>
          </cell>
        </row>
        <row r="990">
          <cell r="B990">
            <v>986</v>
          </cell>
          <cell r="C990">
            <v>1862.7200000000398</v>
          </cell>
          <cell r="D990">
            <v>2607.81</v>
          </cell>
          <cell r="F990">
            <v>1212.370000000014</v>
          </cell>
          <cell r="G990">
            <v>1697.32</v>
          </cell>
        </row>
        <row r="991">
          <cell r="B991">
            <v>987</v>
          </cell>
          <cell r="C991">
            <v>1864.6100000000399</v>
          </cell>
          <cell r="D991">
            <v>2610.4499999999998</v>
          </cell>
          <cell r="F991">
            <v>1213.600000000014</v>
          </cell>
          <cell r="G991">
            <v>1699.04</v>
          </cell>
        </row>
        <row r="992">
          <cell r="B992">
            <v>988</v>
          </cell>
          <cell r="C992">
            <v>1866.50000000004</v>
          </cell>
          <cell r="D992">
            <v>2613.1</v>
          </cell>
          <cell r="F992">
            <v>1214.830000000014</v>
          </cell>
          <cell r="G992">
            <v>1700.76</v>
          </cell>
        </row>
        <row r="993">
          <cell r="B993">
            <v>989</v>
          </cell>
          <cell r="C993">
            <v>1868.3900000000401</v>
          </cell>
          <cell r="D993">
            <v>2615.75</v>
          </cell>
          <cell r="F993">
            <v>1216.060000000014</v>
          </cell>
          <cell r="G993">
            <v>1702.48</v>
          </cell>
        </row>
        <row r="994">
          <cell r="B994">
            <v>990</v>
          </cell>
          <cell r="C994">
            <v>1870.2800000000402</v>
          </cell>
          <cell r="D994">
            <v>2618.39</v>
          </cell>
          <cell r="F994">
            <v>1217.2900000000141</v>
          </cell>
          <cell r="G994">
            <v>1704.21</v>
          </cell>
        </row>
        <row r="995">
          <cell r="B995">
            <v>991</v>
          </cell>
          <cell r="C995">
            <v>1872.1700000000403</v>
          </cell>
          <cell r="D995">
            <v>2621.04</v>
          </cell>
          <cell r="F995">
            <v>1218.5200000000141</v>
          </cell>
          <cell r="G995">
            <v>1705.93</v>
          </cell>
        </row>
        <row r="996">
          <cell r="B996">
            <v>992</v>
          </cell>
          <cell r="C996">
            <v>1874.0600000000404</v>
          </cell>
          <cell r="D996">
            <v>2623.68</v>
          </cell>
          <cell r="F996">
            <v>1219.7500000000141</v>
          </cell>
          <cell r="G996">
            <v>1707.65</v>
          </cell>
        </row>
        <row r="997">
          <cell r="B997">
            <v>993</v>
          </cell>
          <cell r="C997">
            <v>1875.9500000000405</v>
          </cell>
          <cell r="D997">
            <v>2626.33</v>
          </cell>
          <cell r="F997">
            <v>1220.9800000000141</v>
          </cell>
          <cell r="G997">
            <v>1709.37</v>
          </cell>
        </row>
        <row r="998">
          <cell r="B998">
            <v>994</v>
          </cell>
          <cell r="C998">
            <v>1877.8400000000406</v>
          </cell>
          <cell r="D998">
            <v>2628.98</v>
          </cell>
          <cell r="F998">
            <v>1222.2100000000141</v>
          </cell>
          <cell r="G998">
            <v>1711.09</v>
          </cell>
        </row>
        <row r="999">
          <cell r="B999">
            <v>995</v>
          </cell>
          <cell r="C999">
            <v>1879.7300000000407</v>
          </cell>
          <cell r="D999">
            <v>2631.62</v>
          </cell>
          <cell r="F999">
            <v>1223.4400000000142</v>
          </cell>
          <cell r="G999">
            <v>1712.82</v>
          </cell>
        </row>
        <row r="1000">
          <cell r="B1000">
            <v>996</v>
          </cell>
          <cell r="C1000">
            <v>1881.6200000000408</v>
          </cell>
          <cell r="D1000">
            <v>2634.27</v>
          </cell>
          <cell r="F1000">
            <v>1224.6700000000142</v>
          </cell>
          <cell r="G1000">
            <v>1714.54</v>
          </cell>
        </row>
        <row r="1001">
          <cell r="B1001">
            <v>997</v>
          </cell>
          <cell r="C1001">
            <v>1883.5100000000409</v>
          </cell>
          <cell r="D1001">
            <v>2636.91</v>
          </cell>
          <cell r="F1001">
            <v>1225.9000000000142</v>
          </cell>
          <cell r="G1001">
            <v>1716.26</v>
          </cell>
        </row>
        <row r="1002">
          <cell r="B1002">
            <v>998</v>
          </cell>
          <cell r="C1002">
            <v>1885.400000000041</v>
          </cell>
          <cell r="D1002">
            <v>2639.56</v>
          </cell>
          <cell r="F1002">
            <v>1227.1300000000142</v>
          </cell>
          <cell r="G1002">
            <v>1717.98</v>
          </cell>
        </row>
        <row r="1003">
          <cell r="B1003">
            <v>999</v>
          </cell>
          <cell r="C1003">
            <v>1887.2900000000411</v>
          </cell>
          <cell r="D1003">
            <v>2642.21</v>
          </cell>
          <cell r="F1003">
            <v>1228.3600000000142</v>
          </cell>
          <cell r="G1003">
            <v>1719.7</v>
          </cell>
        </row>
        <row r="1004">
          <cell r="B1004">
            <v>1000</v>
          </cell>
          <cell r="C1004">
            <v>1889.1800000000412</v>
          </cell>
          <cell r="D1004">
            <v>2644.85</v>
          </cell>
          <cell r="F1004">
            <v>1229.5900000000142</v>
          </cell>
          <cell r="G1004">
            <v>1721.43</v>
          </cell>
        </row>
        <row r="1006">
          <cell r="C1006" t="str">
            <v>1.89</v>
          </cell>
          <cell r="F1006" t="str">
            <v>1.23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สารบัญ"/>
      <sheetName val="ปก22"/>
      <sheetName val="รายละเอียดโครงการ"/>
      <sheetName val="ปก "/>
      <sheetName val="ปก.."/>
      <sheetName val="สารบัญ."/>
      <sheetName val="คำอธิบาย"/>
      <sheetName val="สรุปรายละเอียดค่าก่อสร้าง "/>
      <sheetName val="สรุปรายละเอียดค่าก่อสร้างform"/>
      <sheetName val="แบบ ปร.๕,สรุปค่าก่อสร้าง"/>
      <sheetName val="ปร.๔.๑,งานสะพาน"/>
      <sheetName val="ปร.๒.๒,งานทาง"/>
      <sheetName val="ปร.๔.๓,งานทั่วไป"/>
      <sheetName val="บัญชีฯ(B.O.Q).สะพาน "/>
      <sheetName val="บัญชีฯ(B.O.Q),งานทาง"/>
      <sheetName val="บัญชีฯ(B.O.Q),ทั่วไป"/>
      <sheetName val="ปร.5"/>
      <sheetName val="ปร.4_1 "/>
      <sheetName val="ปร.4_2,งานทาง"/>
      <sheetName val="ปร.4_1,สะพาน"/>
      <sheetName val="ปร.4_2,ทาง"/>
      <sheetName val="ปร.4_3,ทั่วไป"/>
      <sheetName val="ตารางแบ่งค่างาน(ปรับปรุงใหม่)"/>
      <sheetName val="แหล่งวัสดุf"/>
      <sheetName val="ราคาต่อหน่วยงานทาง"/>
      <sheetName val="สรุป ปร5"/>
      <sheetName val="หา FACTOR F"/>
      <sheetName val="FACTOR Fอาคาร"/>
      <sheetName val="FACTOR Fทาง "/>
      <sheetName val="FACTOR Fสะพาน "/>
      <sheetName val="แผนงานสะพาน"/>
      <sheetName val="สำนักงาน,ค่าใช้จ่ายพิเศษ'53"/>
      <sheetName val="เอกสารแหล่งวัสดุ"/>
      <sheetName val="แหล่งวัสดุ"/>
      <sheetName val="KM Chart"/>
      <sheetName val="ระยะทางต่อจังหวัด"/>
      <sheetName val="วัสดุเพื่องานคสล."/>
      <sheetName val="ค่าวัสดุสะพาน"/>
      <sheetName val="เอกสารแสดงราคาต่อหน่วย "/>
      <sheetName val="ค่าต้นทุนงานทาง"/>
      <sheetName val="ค่าเสื่อมราคา;29.00-29.99฿"/>
      <sheetName val="ตารางค่าขนส่ง,Desel;29.50฿"/>
      <sheetName val="ค่าขนส่ง,Desel;29.50฿"/>
      <sheetName val="ราคาวัสดุก่อสร้าง,จ.กระบี่"/>
      <sheetName val="Unuse"/>
      <sheetName val="ค่าน้ำมัน,ค่าขนส่ง"/>
      <sheetName val="ตารางค่าดำเนินการ+ค่าเสื่อมฯ"/>
      <sheetName val="เอกสารแสดงราคาต่อหน่วย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48">
          <cell r="K48">
            <v>1.1781999999999999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เมนู"/>
      <sheetName val="ปร.4"/>
      <sheetName val="ปร.5ทช"/>
      <sheetName val="ปกทช"/>
      <sheetName val="ข้อมูลประกอบการประมาณราคา"/>
      <sheetName val="รายการประมาณราคาต่อหน่วย"/>
      <sheetName val="ข้อมูลโครงการ"/>
      <sheetName val="ข้อมูลโครงสร้างทาง"/>
      <sheetName val="เลือกชนิดวัสดุมวลรวม"/>
      <sheetName val="เลือกวิธีหาราคาต้นทุน CS"/>
      <sheetName val="ตัวแปรค่าดำเนินการปูลาดAC"/>
      <sheetName val="ปร.4 สะพาน"/>
      <sheetName val="ปร.4 box"/>
      <sheetName val="ตัวแปรสภาพผิวทาง"/>
      <sheetName val="ค่าขนส่ง"/>
      <sheetName val="ค่าขนส่งปูนเมนต์"/>
      <sheetName val="ค่าขนส่งทราย"/>
      <sheetName val="ค่าขนส่งหิน"/>
      <sheetName val="ค่าขนส่งกรวดโม่"/>
      <sheetName val="ค่าขนส่งยาง"/>
      <sheetName val="ค่าขนส่งหินผสมAC"/>
      <sheetName val="ค่าขนส่งHM"/>
      <sheetName val="ค่าขนส่งเครืองจักร 80"/>
      <sheetName val="ค่าขนส่งacในสายทาง"/>
      <sheetName val="ค่าขนส่งเหล็ก"/>
      <sheetName val="ค่าขนส่งเหล็กรูปพรรณ"/>
      <sheetName val="ค่าขนส่งไม้แบบ"/>
      <sheetName val="ค่าขนส่งดินถม"/>
      <sheetName val="ค่าขนส่งลูกรังและวัสดุคัดเลือก"/>
      <sheetName val="ค่าขนส่งดินทิ้ง"/>
      <sheetName val="ค่าขนส่งไม้โครงสร้าง"/>
      <sheetName val="ค่าขนส่งท่อลอดกลม คสล."/>
      <sheetName val="กรอกข้อมูลประเมินราคาชุดที่2"/>
      <sheetName val="ประเภทงาน"/>
      <sheetName val="ถางป่าขุดตอขนาดเบา"/>
      <sheetName val="ถางป่าขุดตอขนาดกลาง"/>
      <sheetName val="ถางป่าขุดตอขนาดหนัก"/>
      <sheetName val="ดินคันทางขุดขน"/>
      <sheetName val="ดินคันทางบดทับ"/>
      <sheetName val="ดินขุดตัด"/>
      <sheetName val="ดินตัก"/>
      <sheetName val="หินผุขัดตัด"/>
      <sheetName val="หินผุดันตัก"/>
      <sheetName val="หินแข็งเจาะระเบิด"/>
      <sheetName val="หินแข็งดันตัก"/>
      <sheetName val="รองพื้นทางขุดขน"/>
      <sheetName val="รองพื้นทางผสมกับวัสดุอื่น"/>
      <sheetName val="รองพื้นทางบดทับ"/>
      <sheetName val="ไหล่ทางลูกรังผสมกับวัสดุอื่น"/>
      <sheetName val="ไหล่ทางลูกรังบดทับ"/>
      <sheetName val="พื้นทางผสมกับวัสดุอื่น"/>
      <sheetName val="พื้นทางบดทับ"/>
      <sheetName val="ตัดแต่งขั้นบันได"/>
      <sheetName val="ขุดรื้อลูกรัง10"/>
      <sheetName val="ขุดรื้อหินคลุก10"/>
      <sheetName val="ขุดรื้อผิวAC5"/>
      <sheetName val="ลาดยางPrimecoat"/>
      <sheetName val="ลาดยางTackcoat"/>
      <sheetName val="ชั้นเดียว(0.5)"/>
      <sheetName val="ชั้นเดียว(0.75)"/>
      <sheetName val="สองชั้น(0.75-0.375)"/>
      <sheetName val="สองชั้น(1-0.5)"/>
      <sheetName val="ชั้นเดียวเคลือบ(0.5)"/>
      <sheetName val="ชั้นเดียวเคลือบ(0.75)"/>
      <sheetName val="สองชั้นเคลือบ(0.75-0.375)"/>
      <sheetName val="สองชั้นเคลือบ(1-0.5)"/>
      <sheetName val="ค่าผสมAC"/>
      <sheetName val="ค่าปูผิวACบนPC"/>
      <sheetName val="ค่าปูผิวACบนTC"/>
      <sheetName val="ค่าผสมconc"/>
      <sheetName val="ค่าขนส่งconc"/>
      <sheetName val="ค่าแบบข้าง2ข้าง"/>
      <sheetName val="ค่าปูผิวconc"/>
      <sheetName val="ค่าตัดรอยต่อและหยอดยาง"/>
      <sheetName val="ค่าหยอดยางรอยต่อ"/>
      <sheetName val="ค่าบ่มผิวconc"/>
      <sheetName val="ค่าผสมวัสดุลูกรัง"/>
      <sheetName val="ค่าบ่มวัสดุลูกรัง"/>
      <sheetName val="ค่าผสมวัสดุหินคลุก"/>
      <sheetName val="ค่าบ่มวัสดุหินคลุก"/>
      <sheetName val="ค่าpipr15"/>
      <sheetName val="ค่าpipr20"/>
      <sheetName val="ค่าpipr25"/>
      <sheetName val="Slurry"/>
      <sheetName val="fogspray"/>
      <sheetName val="Sheet6"/>
      <sheetName val="ค่าดำเนินการและค่าเสื่อม"/>
      <sheetName val="สรุปค่าดำเนินการและค่าเสื่อม"/>
      <sheetName val="ปร.4สะพานคสล."/>
      <sheetName val="ปร.5สะพานคสล."/>
      <sheetName val="บัญชีแสดงปริมาณวัสดุชุดที่ 1"/>
      <sheetName val="บัญชีแสดงปริมาณวัสดุชุดที่ 2"/>
      <sheetName val="บัญชีแสดงปริมาณวัสดุชุดที่ 2.2"/>
      <sheetName val="สรุปBOX"/>
      <sheetName val="สรุปตารางกำแพงbox"/>
      <sheetName val="สรุปตารางถอดแบบbox"/>
      <sheetName val="ตารางกำแพงปากท่อลอดเหลี่ยม"/>
      <sheetName val="บันทึกประเมิน"/>
      <sheetName val="กรอกข้อมูลประเมินราคาชุดที1"/>
      <sheetName val="การแบ่งงวดงานCS"/>
      <sheetName val="รายละเอียดงวดงานที่แนบตามประกาศ"/>
      <sheetName val="รายละเอียดงวดงานใช้แนบสัญญาจ้าง"/>
      <sheetName val="SLOPE PROTECT"/>
      <sheetName val="ตารางถอดแบบสะพาน"/>
      <sheetName val="ตารางถอดแบบbox"/>
      <sheetName val="ตารางถอดแบบกำแพงปากท่อ"/>
      <sheetName val="สรุปถอดแบบสะพาน"/>
      <sheetName val="FACTORFงานทาง"/>
      <sheetName val="FACTORFชุก1งานทาง"/>
      <sheetName val="FACTORFชุก2งานทาง"/>
      <sheetName val="สรุปFACTORFงานทาง"/>
      <sheetName val="FACTORFงานสะพาน"/>
      <sheetName val="DATA1_1"/>
      <sheetName val="DATA1_2"/>
      <sheetName val="DATA1_3"/>
      <sheetName val="DATA1_4"/>
      <sheetName val="DATA1_5"/>
      <sheetName val="DATA1_6"/>
      <sheetName val="DATA1_7"/>
      <sheetName val="DATA1_8"/>
      <sheetName val="DATA2"/>
      <sheetName val="DATA6"/>
      <sheetName val="DATA3"/>
      <sheetName val="DATA4"/>
      <sheetName val="DATA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INPUT"/>
      <sheetName val="สารบัญ"/>
      <sheetName val="กั้นหน้า"/>
      <sheetName val="ปร5_FLY"/>
      <sheetName val="ปร4_FLY"/>
      <sheetName val="หา FACTORF_FLY"/>
      <sheetName val="unitcost_Fly"/>
      <sheetName val="unitcostรวม"/>
      <sheetName val="กราฟทำงาน_FLY"/>
      <sheetName val="Worktime_FLY"/>
      <sheetName val="ปร5Uturn"/>
      <sheetName val="ปร4Uturn"/>
      <sheetName val="หา FACTORF_UT"/>
      <sheetName val="unitcost_Uturn"/>
      <sheetName val="กราฟทำงาน_Uturn"/>
      <sheetName val="Worktime_UTurn"/>
      <sheetName val="sorce"/>
      <sheetName val="สรุปOHCทาง"/>
      <sheetName val="สรุปOHCโครงสร้าง"/>
      <sheetName val="อัตราทำงาน"/>
      <sheetName val="Factor ดิน"/>
      <sheetName val="ค่าขนส่ง"/>
      <sheetName val="ตารางขนส่ง1"/>
      <sheetName val="ตารางFACTOR Fทาง"/>
      <sheetName val="ตารางFACTOR Fสะพาน"/>
      <sheetName val="ค่าเครื่องจักร"/>
      <sheetName val="สรุปค่าเครื่องจักร+อะไหล่สึกหรอ"/>
      <sheetName val="เริ่มต้น"/>
      <sheetName val="บทที่1"/>
      <sheetName val="DetailOHCโครงสร้าง"/>
      <sheetName val="ตารางขนส่ง"/>
      <sheetName val="วิธีคิดค่าขนส่ง"/>
      <sheetName val="Detailค่าเครื่องจักร"/>
      <sheetName val="บทที่3"/>
      <sheetName val="บทที่3(2)"/>
      <sheetName val="บทที่2(3)"/>
      <sheetName val="DetailOHCทาง"/>
      <sheetName val="จัดเครื่องจักรทาง"/>
      <sheetName val="อ้างอิง"/>
      <sheetName val="Bid3_2"/>
      <sheetName val="Bid3_1"/>
      <sheetName val="เปรียบเทียบราคาไฟฟ้า"/>
      <sheetName val="คำนำ"/>
      <sheetName val="หัวเรื่อง"/>
      <sheetName val="ปก"/>
      <sheetName val="เอกสารสัมพันธ์"/>
      <sheetName val="ขั้นตอ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121">
          <cell r="C121">
            <v>1</v>
          </cell>
          <cell r="D121">
            <v>4.5599999999999996</v>
          </cell>
          <cell r="F121">
            <v>3.26</v>
          </cell>
          <cell r="H121">
            <v>4.25</v>
          </cell>
          <cell r="J121">
            <v>5.95</v>
          </cell>
          <cell r="L121">
            <v>3.07</v>
          </cell>
          <cell r="N121">
            <v>2.19</v>
          </cell>
        </row>
        <row r="122">
          <cell r="C122">
            <v>2</v>
          </cell>
          <cell r="D122">
            <v>6.51</v>
          </cell>
          <cell r="F122">
            <v>4.6500000000000004</v>
          </cell>
          <cell r="H122">
            <v>5.24</v>
          </cell>
          <cell r="J122">
            <v>7.34</v>
          </cell>
          <cell r="L122">
            <v>3.82</v>
          </cell>
          <cell r="N122">
            <v>2.73</v>
          </cell>
        </row>
        <row r="123">
          <cell r="C123">
            <v>3</v>
          </cell>
          <cell r="D123">
            <v>7.55</v>
          </cell>
          <cell r="F123">
            <v>5.39</v>
          </cell>
          <cell r="H123">
            <v>6.24</v>
          </cell>
          <cell r="J123">
            <v>8.74</v>
          </cell>
          <cell r="L123">
            <v>4.22</v>
          </cell>
          <cell r="N123">
            <v>3.01</v>
          </cell>
        </row>
        <row r="124">
          <cell r="C124">
            <v>4</v>
          </cell>
          <cell r="D124">
            <v>9.1999999999999993</v>
          </cell>
          <cell r="F124">
            <v>6.57</v>
          </cell>
          <cell r="H124">
            <v>7.23</v>
          </cell>
          <cell r="J124">
            <v>10.119999999999999</v>
          </cell>
          <cell r="L124">
            <v>4.8600000000000003</v>
          </cell>
          <cell r="N124">
            <v>3.47</v>
          </cell>
        </row>
        <row r="125">
          <cell r="C125">
            <v>5</v>
          </cell>
          <cell r="D125">
            <v>10.84</v>
          </cell>
          <cell r="F125">
            <v>7.74</v>
          </cell>
          <cell r="H125">
            <v>8.2200000000000006</v>
          </cell>
          <cell r="J125">
            <v>11.51</v>
          </cell>
          <cell r="L125">
            <v>5.49</v>
          </cell>
          <cell r="N125">
            <v>3.92</v>
          </cell>
        </row>
        <row r="126">
          <cell r="C126">
            <v>6</v>
          </cell>
          <cell r="D126">
            <v>12.49</v>
          </cell>
          <cell r="F126">
            <v>8.92</v>
          </cell>
          <cell r="H126">
            <v>9.2200000000000006</v>
          </cell>
          <cell r="J126">
            <v>12.91</v>
          </cell>
          <cell r="L126">
            <v>6.13</v>
          </cell>
          <cell r="N126">
            <v>4.38</v>
          </cell>
        </row>
        <row r="127">
          <cell r="C127">
            <v>7</v>
          </cell>
          <cell r="D127">
            <v>14.13</v>
          </cell>
          <cell r="F127">
            <v>10.09</v>
          </cell>
          <cell r="H127">
            <v>10.210000000000001</v>
          </cell>
          <cell r="J127">
            <v>14.29</v>
          </cell>
          <cell r="L127">
            <v>6.77</v>
          </cell>
          <cell r="N127">
            <v>4.84</v>
          </cell>
        </row>
        <row r="128">
          <cell r="C128">
            <v>8</v>
          </cell>
          <cell r="D128">
            <v>15.78</v>
          </cell>
          <cell r="F128">
            <v>11.27</v>
          </cell>
          <cell r="H128">
            <v>11.44</v>
          </cell>
          <cell r="J128">
            <v>16.02</v>
          </cell>
          <cell r="L128">
            <v>7.4</v>
          </cell>
          <cell r="N128">
            <v>5.29</v>
          </cell>
        </row>
        <row r="129">
          <cell r="C129">
            <v>9</v>
          </cell>
          <cell r="D129">
            <v>17.43</v>
          </cell>
          <cell r="F129">
            <v>12.45</v>
          </cell>
          <cell r="H129">
            <v>12.79</v>
          </cell>
          <cell r="J129">
            <v>17.91</v>
          </cell>
          <cell r="L129">
            <v>8.0399999999999991</v>
          </cell>
          <cell r="N129">
            <v>5.74</v>
          </cell>
        </row>
        <row r="130">
          <cell r="C130">
            <v>10</v>
          </cell>
          <cell r="D130">
            <v>19.07</v>
          </cell>
          <cell r="F130">
            <v>13.62</v>
          </cell>
          <cell r="H130">
            <v>14.14</v>
          </cell>
          <cell r="J130">
            <v>19.8</v>
          </cell>
          <cell r="L130">
            <v>8.67</v>
          </cell>
          <cell r="N130">
            <v>6.19</v>
          </cell>
        </row>
        <row r="131">
          <cell r="C131">
            <v>11</v>
          </cell>
          <cell r="D131">
            <v>20.72</v>
          </cell>
          <cell r="F131">
            <v>14.8</v>
          </cell>
          <cell r="H131">
            <v>15.48</v>
          </cell>
          <cell r="J131">
            <v>21.67</v>
          </cell>
          <cell r="L131">
            <v>9.31</v>
          </cell>
          <cell r="N131">
            <v>6.65</v>
          </cell>
        </row>
        <row r="132">
          <cell r="C132">
            <v>12</v>
          </cell>
          <cell r="D132">
            <v>22.36</v>
          </cell>
          <cell r="F132">
            <v>15.97</v>
          </cell>
          <cell r="H132">
            <v>16.829999999999998</v>
          </cell>
          <cell r="J132">
            <v>23.56</v>
          </cell>
          <cell r="L132">
            <v>9.9499999999999993</v>
          </cell>
          <cell r="N132">
            <v>7.11</v>
          </cell>
        </row>
        <row r="133">
          <cell r="C133">
            <v>13</v>
          </cell>
          <cell r="D133">
            <v>24.01</v>
          </cell>
          <cell r="F133">
            <v>17.149999999999999</v>
          </cell>
          <cell r="H133">
            <v>18.18</v>
          </cell>
          <cell r="J133">
            <v>25.45</v>
          </cell>
          <cell r="L133">
            <v>10.58</v>
          </cell>
          <cell r="N133">
            <v>7.56</v>
          </cell>
        </row>
        <row r="134">
          <cell r="C134">
            <v>14</v>
          </cell>
          <cell r="D134">
            <v>25.65</v>
          </cell>
          <cell r="F134">
            <v>18.32</v>
          </cell>
          <cell r="H134">
            <v>19.53</v>
          </cell>
          <cell r="J134">
            <v>27.34</v>
          </cell>
          <cell r="L134">
            <v>11.22</v>
          </cell>
          <cell r="N134">
            <v>8.01</v>
          </cell>
        </row>
        <row r="135">
          <cell r="C135">
            <v>15</v>
          </cell>
          <cell r="D135">
            <v>27.3</v>
          </cell>
          <cell r="F135">
            <v>19.5</v>
          </cell>
          <cell r="H135">
            <v>20.88</v>
          </cell>
          <cell r="J135">
            <v>29.23</v>
          </cell>
          <cell r="L135">
            <v>11.86</v>
          </cell>
          <cell r="N135">
            <v>8.4700000000000006</v>
          </cell>
        </row>
        <row r="136">
          <cell r="C136">
            <v>16</v>
          </cell>
          <cell r="D136">
            <v>28.95</v>
          </cell>
          <cell r="F136">
            <v>20.68</v>
          </cell>
          <cell r="H136">
            <v>22.23</v>
          </cell>
          <cell r="J136">
            <v>31.12</v>
          </cell>
          <cell r="L136">
            <v>12.49</v>
          </cell>
          <cell r="N136">
            <v>8.92</v>
          </cell>
        </row>
        <row r="137">
          <cell r="C137">
            <v>17</v>
          </cell>
          <cell r="D137">
            <v>30.59</v>
          </cell>
          <cell r="F137">
            <v>21.85</v>
          </cell>
          <cell r="H137">
            <v>23.57</v>
          </cell>
          <cell r="J137">
            <v>33</v>
          </cell>
          <cell r="L137">
            <v>13.13</v>
          </cell>
          <cell r="N137">
            <v>9.3800000000000008</v>
          </cell>
        </row>
        <row r="138">
          <cell r="C138">
            <v>18</v>
          </cell>
          <cell r="D138">
            <v>32.24</v>
          </cell>
          <cell r="F138">
            <v>23.03</v>
          </cell>
          <cell r="H138">
            <v>24.92</v>
          </cell>
          <cell r="J138">
            <v>34.89</v>
          </cell>
          <cell r="L138">
            <v>13.76</v>
          </cell>
          <cell r="N138">
            <v>9.83</v>
          </cell>
        </row>
        <row r="139">
          <cell r="C139">
            <v>19</v>
          </cell>
          <cell r="D139">
            <v>33.880000000000003</v>
          </cell>
          <cell r="F139">
            <v>24.2</v>
          </cell>
          <cell r="H139">
            <v>26.27</v>
          </cell>
          <cell r="J139">
            <v>36.78</v>
          </cell>
          <cell r="L139">
            <v>14.4</v>
          </cell>
          <cell r="N139">
            <v>10.29</v>
          </cell>
        </row>
        <row r="140">
          <cell r="C140">
            <v>20</v>
          </cell>
          <cell r="D140">
            <v>35.53</v>
          </cell>
          <cell r="F140">
            <v>25.38</v>
          </cell>
          <cell r="H140">
            <v>27.62</v>
          </cell>
          <cell r="J140">
            <v>38.67</v>
          </cell>
          <cell r="L140">
            <v>15.04</v>
          </cell>
          <cell r="N140">
            <v>10.74</v>
          </cell>
        </row>
        <row r="141">
          <cell r="C141">
            <v>21</v>
          </cell>
          <cell r="D141">
            <v>37.17</v>
          </cell>
          <cell r="F141">
            <v>26.55</v>
          </cell>
          <cell r="H141">
            <v>28.97</v>
          </cell>
          <cell r="J141">
            <v>40.56</v>
          </cell>
          <cell r="L141">
            <v>15.67</v>
          </cell>
          <cell r="N141">
            <v>11.19</v>
          </cell>
        </row>
        <row r="142">
          <cell r="C142">
            <v>22</v>
          </cell>
          <cell r="D142">
            <v>38.82</v>
          </cell>
          <cell r="F142">
            <v>27.73</v>
          </cell>
          <cell r="H142">
            <v>30.32</v>
          </cell>
          <cell r="J142">
            <v>42.45</v>
          </cell>
          <cell r="L142">
            <v>16.309999999999999</v>
          </cell>
          <cell r="N142">
            <v>11.65</v>
          </cell>
        </row>
        <row r="143">
          <cell r="C143">
            <v>23</v>
          </cell>
          <cell r="D143">
            <v>40.47</v>
          </cell>
          <cell r="F143">
            <v>28.91</v>
          </cell>
          <cell r="H143">
            <v>31.66</v>
          </cell>
          <cell r="J143">
            <v>44.32</v>
          </cell>
          <cell r="L143">
            <v>16.95</v>
          </cell>
          <cell r="N143">
            <v>12.11</v>
          </cell>
        </row>
        <row r="144">
          <cell r="C144">
            <v>24</v>
          </cell>
          <cell r="D144">
            <v>42.11</v>
          </cell>
          <cell r="F144">
            <v>30.08</v>
          </cell>
          <cell r="H144">
            <v>33.01</v>
          </cell>
          <cell r="J144">
            <v>46.21</v>
          </cell>
          <cell r="L144">
            <v>17.579999999999998</v>
          </cell>
          <cell r="N144">
            <v>12.56</v>
          </cell>
        </row>
        <row r="145">
          <cell r="C145">
            <v>25</v>
          </cell>
          <cell r="D145">
            <v>43.76</v>
          </cell>
          <cell r="F145">
            <v>31.26</v>
          </cell>
          <cell r="H145">
            <v>34.36</v>
          </cell>
          <cell r="J145">
            <v>48.1</v>
          </cell>
          <cell r="L145">
            <v>18.22</v>
          </cell>
          <cell r="N145">
            <v>13.01</v>
          </cell>
        </row>
        <row r="146">
          <cell r="C146">
            <v>26</v>
          </cell>
          <cell r="D146">
            <v>45.4</v>
          </cell>
          <cell r="F146">
            <v>32.43</v>
          </cell>
          <cell r="H146">
            <v>35.71</v>
          </cell>
          <cell r="J146">
            <v>49.99</v>
          </cell>
          <cell r="L146">
            <v>18.850000000000001</v>
          </cell>
          <cell r="N146">
            <v>13.46</v>
          </cell>
        </row>
        <row r="147">
          <cell r="C147">
            <v>27</v>
          </cell>
          <cell r="D147">
            <v>47.05</v>
          </cell>
          <cell r="F147">
            <v>33.61</v>
          </cell>
          <cell r="H147">
            <v>37.06</v>
          </cell>
          <cell r="J147">
            <v>51.88</v>
          </cell>
          <cell r="L147">
            <v>19.489999999999998</v>
          </cell>
          <cell r="N147">
            <v>13.92</v>
          </cell>
        </row>
        <row r="148">
          <cell r="C148">
            <v>28</v>
          </cell>
          <cell r="D148">
            <v>48.69</v>
          </cell>
          <cell r="F148">
            <v>34.78</v>
          </cell>
          <cell r="H148">
            <v>38.409999999999997</v>
          </cell>
          <cell r="J148">
            <v>53.77</v>
          </cell>
          <cell r="L148">
            <v>20.13</v>
          </cell>
          <cell r="N148">
            <v>14.38</v>
          </cell>
        </row>
        <row r="149">
          <cell r="C149">
            <v>29</v>
          </cell>
          <cell r="D149">
            <v>50.34</v>
          </cell>
          <cell r="F149">
            <v>35.96</v>
          </cell>
          <cell r="H149">
            <v>39.76</v>
          </cell>
          <cell r="J149">
            <v>55.66</v>
          </cell>
          <cell r="L149">
            <v>20.76</v>
          </cell>
          <cell r="N149">
            <v>14.83</v>
          </cell>
        </row>
        <row r="150">
          <cell r="C150">
            <v>30</v>
          </cell>
          <cell r="D150">
            <v>51.99</v>
          </cell>
          <cell r="F150">
            <v>37.14</v>
          </cell>
          <cell r="H150">
            <v>41.1</v>
          </cell>
          <cell r="J150">
            <v>57.54</v>
          </cell>
          <cell r="L150">
            <v>21.4</v>
          </cell>
          <cell r="N150">
            <v>15.29</v>
          </cell>
        </row>
        <row r="151">
          <cell r="C151">
            <v>31</v>
          </cell>
          <cell r="D151">
            <v>53.63</v>
          </cell>
          <cell r="F151">
            <v>38.31</v>
          </cell>
          <cell r="H151">
            <v>42.45</v>
          </cell>
          <cell r="J151">
            <v>59.43</v>
          </cell>
          <cell r="L151">
            <v>22.04</v>
          </cell>
          <cell r="N151">
            <v>15.74</v>
          </cell>
        </row>
        <row r="152">
          <cell r="C152">
            <v>32</v>
          </cell>
          <cell r="D152">
            <v>55.28</v>
          </cell>
          <cell r="F152">
            <v>39.49</v>
          </cell>
          <cell r="H152">
            <v>43.8</v>
          </cell>
          <cell r="J152">
            <v>61.32</v>
          </cell>
          <cell r="L152">
            <v>22.67</v>
          </cell>
          <cell r="N152">
            <v>16.190000000000001</v>
          </cell>
        </row>
        <row r="153">
          <cell r="C153">
            <v>33</v>
          </cell>
          <cell r="D153">
            <v>56.92</v>
          </cell>
          <cell r="F153">
            <v>40.659999999999997</v>
          </cell>
          <cell r="H153">
            <v>45.15</v>
          </cell>
          <cell r="J153">
            <v>63.21</v>
          </cell>
          <cell r="L153">
            <v>23.31</v>
          </cell>
          <cell r="N153">
            <v>16.649999999999999</v>
          </cell>
        </row>
        <row r="154">
          <cell r="C154">
            <v>34</v>
          </cell>
          <cell r="D154">
            <v>58.57</v>
          </cell>
          <cell r="F154">
            <v>41.84</v>
          </cell>
          <cell r="H154">
            <v>46.5</v>
          </cell>
          <cell r="J154">
            <v>65.099999999999994</v>
          </cell>
          <cell r="L154">
            <v>23.94</v>
          </cell>
          <cell r="N154">
            <v>17.100000000000001</v>
          </cell>
        </row>
        <row r="155">
          <cell r="C155">
            <v>35</v>
          </cell>
          <cell r="D155">
            <v>60.21</v>
          </cell>
          <cell r="F155">
            <v>43.01</v>
          </cell>
          <cell r="H155">
            <v>47.85</v>
          </cell>
          <cell r="J155">
            <v>66.989999999999995</v>
          </cell>
          <cell r="L155">
            <v>24.58</v>
          </cell>
          <cell r="N155">
            <v>17.559999999999999</v>
          </cell>
        </row>
        <row r="156">
          <cell r="C156">
            <v>36</v>
          </cell>
          <cell r="D156">
            <v>61.86</v>
          </cell>
          <cell r="F156">
            <v>44.19</v>
          </cell>
          <cell r="H156">
            <v>49.19</v>
          </cell>
          <cell r="J156">
            <v>68.87</v>
          </cell>
          <cell r="L156">
            <v>25.22</v>
          </cell>
          <cell r="N156">
            <v>18.010000000000002</v>
          </cell>
        </row>
        <row r="157">
          <cell r="C157">
            <v>37</v>
          </cell>
          <cell r="D157">
            <v>63.51</v>
          </cell>
          <cell r="F157">
            <v>45.36</v>
          </cell>
          <cell r="H157">
            <v>50.54</v>
          </cell>
          <cell r="J157">
            <v>70.760000000000005</v>
          </cell>
          <cell r="L157">
            <v>25.85</v>
          </cell>
          <cell r="N157">
            <v>18.46</v>
          </cell>
        </row>
        <row r="158">
          <cell r="C158">
            <v>38</v>
          </cell>
          <cell r="D158">
            <v>65.150000000000006</v>
          </cell>
          <cell r="F158">
            <v>46.54</v>
          </cell>
          <cell r="H158">
            <v>51.89</v>
          </cell>
          <cell r="J158">
            <v>72.650000000000006</v>
          </cell>
          <cell r="L158">
            <v>26.49</v>
          </cell>
          <cell r="N158">
            <v>18.920000000000002</v>
          </cell>
        </row>
        <row r="159">
          <cell r="C159">
            <v>39</v>
          </cell>
          <cell r="D159">
            <v>66.8</v>
          </cell>
          <cell r="F159">
            <v>47.71</v>
          </cell>
          <cell r="H159">
            <v>53.24</v>
          </cell>
          <cell r="J159">
            <v>74.540000000000006</v>
          </cell>
          <cell r="L159">
            <v>27.13</v>
          </cell>
          <cell r="N159">
            <v>19.38</v>
          </cell>
        </row>
        <row r="160">
          <cell r="C160">
            <v>40</v>
          </cell>
          <cell r="D160">
            <v>68.44</v>
          </cell>
          <cell r="F160">
            <v>48.89</v>
          </cell>
          <cell r="H160">
            <v>54.59</v>
          </cell>
          <cell r="J160">
            <v>76.430000000000007</v>
          </cell>
          <cell r="L160">
            <v>27.76</v>
          </cell>
          <cell r="N160">
            <v>19.829999999999998</v>
          </cell>
        </row>
        <row r="161">
          <cell r="C161">
            <v>41</v>
          </cell>
          <cell r="D161">
            <v>70.09</v>
          </cell>
          <cell r="F161">
            <v>50.06</v>
          </cell>
          <cell r="H161">
            <v>55.94</v>
          </cell>
          <cell r="J161">
            <v>78.319999999999993</v>
          </cell>
          <cell r="L161">
            <v>28.4</v>
          </cell>
          <cell r="N161">
            <v>20.29</v>
          </cell>
        </row>
        <row r="162">
          <cell r="C162">
            <v>42</v>
          </cell>
          <cell r="D162">
            <v>71.739999999999995</v>
          </cell>
          <cell r="F162">
            <v>51.24</v>
          </cell>
          <cell r="H162">
            <v>57.28</v>
          </cell>
          <cell r="J162">
            <v>80.19</v>
          </cell>
          <cell r="L162">
            <v>29.03</v>
          </cell>
          <cell r="N162">
            <v>20.74</v>
          </cell>
        </row>
        <row r="163">
          <cell r="C163">
            <v>43</v>
          </cell>
          <cell r="D163">
            <v>73.38</v>
          </cell>
          <cell r="F163">
            <v>52.41</v>
          </cell>
          <cell r="H163">
            <v>58.63</v>
          </cell>
          <cell r="J163">
            <v>82.08</v>
          </cell>
          <cell r="L163">
            <v>29.67</v>
          </cell>
          <cell r="N163">
            <v>21.19</v>
          </cell>
        </row>
        <row r="164">
          <cell r="C164">
            <v>44</v>
          </cell>
          <cell r="D164">
            <v>75.03</v>
          </cell>
          <cell r="F164">
            <v>53.59</v>
          </cell>
          <cell r="H164">
            <v>59.98</v>
          </cell>
          <cell r="J164">
            <v>83.97</v>
          </cell>
          <cell r="L164">
            <v>30.31</v>
          </cell>
          <cell r="N164">
            <v>21.65</v>
          </cell>
        </row>
        <row r="165">
          <cell r="C165">
            <v>45</v>
          </cell>
          <cell r="D165">
            <v>76.67</v>
          </cell>
          <cell r="F165">
            <v>54.76</v>
          </cell>
          <cell r="H165">
            <v>61.33</v>
          </cell>
          <cell r="J165">
            <v>85.86</v>
          </cell>
          <cell r="L165">
            <v>30.94</v>
          </cell>
          <cell r="N165">
            <v>22.1</v>
          </cell>
        </row>
        <row r="166">
          <cell r="C166">
            <v>46</v>
          </cell>
          <cell r="D166">
            <v>78.319999999999993</v>
          </cell>
          <cell r="F166">
            <v>55.94</v>
          </cell>
          <cell r="H166">
            <v>62.68</v>
          </cell>
          <cell r="J166">
            <v>87.75</v>
          </cell>
          <cell r="L166">
            <v>31.58</v>
          </cell>
          <cell r="N166">
            <v>22.56</v>
          </cell>
        </row>
        <row r="167">
          <cell r="C167">
            <v>47</v>
          </cell>
          <cell r="D167">
            <v>79.959999999999994</v>
          </cell>
          <cell r="F167">
            <v>57.11</v>
          </cell>
          <cell r="H167">
            <v>64.03</v>
          </cell>
          <cell r="J167">
            <v>89.64</v>
          </cell>
          <cell r="L167">
            <v>32.22</v>
          </cell>
          <cell r="N167">
            <v>23.01</v>
          </cell>
        </row>
        <row r="168">
          <cell r="C168">
            <v>48</v>
          </cell>
          <cell r="D168">
            <v>81.61</v>
          </cell>
          <cell r="F168">
            <v>58.29</v>
          </cell>
          <cell r="H168">
            <v>65.37</v>
          </cell>
          <cell r="J168">
            <v>91.52</v>
          </cell>
          <cell r="L168">
            <v>32.85</v>
          </cell>
          <cell r="N168">
            <v>23.46</v>
          </cell>
        </row>
        <row r="169">
          <cell r="C169">
            <v>49</v>
          </cell>
          <cell r="D169">
            <v>83.26</v>
          </cell>
          <cell r="F169">
            <v>59.47</v>
          </cell>
          <cell r="H169">
            <v>66.72</v>
          </cell>
          <cell r="J169">
            <v>93.41</v>
          </cell>
          <cell r="L169">
            <v>33.49</v>
          </cell>
          <cell r="N169">
            <v>23.92</v>
          </cell>
        </row>
        <row r="170">
          <cell r="C170">
            <v>50</v>
          </cell>
          <cell r="D170">
            <v>84.9</v>
          </cell>
          <cell r="F170">
            <v>60.64</v>
          </cell>
          <cell r="H170">
            <v>68.069999999999993</v>
          </cell>
          <cell r="J170">
            <v>95.3</v>
          </cell>
          <cell r="L170">
            <v>34.119999999999997</v>
          </cell>
          <cell r="N170">
            <v>24.37</v>
          </cell>
        </row>
        <row r="171">
          <cell r="C171">
            <v>51</v>
          </cell>
          <cell r="D171">
            <v>86.55</v>
          </cell>
          <cell r="F171">
            <v>61.82</v>
          </cell>
          <cell r="H171">
            <v>69.42</v>
          </cell>
          <cell r="J171">
            <v>97.19</v>
          </cell>
          <cell r="L171">
            <v>34.76</v>
          </cell>
          <cell r="N171">
            <v>24.83</v>
          </cell>
        </row>
        <row r="172">
          <cell r="C172">
            <v>52</v>
          </cell>
          <cell r="D172">
            <v>88.19</v>
          </cell>
          <cell r="F172">
            <v>62.99</v>
          </cell>
          <cell r="H172">
            <v>70.77</v>
          </cell>
          <cell r="J172">
            <v>99.08</v>
          </cell>
          <cell r="L172">
            <v>35.4</v>
          </cell>
          <cell r="N172">
            <v>25.29</v>
          </cell>
        </row>
        <row r="173">
          <cell r="C173">
            <v>53</v>
          </cell>
          <cell r="D173">
            <v>89.84</v>
          </cell>
          <cell r="F173">
            <v>64.17</v>
          </cell>
          <cell r="H173">
            <v>72.12</v>
          </cell>
          <cell r="J173">
            <v>100.97</v>
          </cell>
          <cell r="L173">
            <v>36.03</v>
          </cell>
          <cell r="N173">
            <v>25.74</v>
          </cell>
        </row>
        <row r="174">
          <cell r="C174">
            <v>54</v>
          </cell>
          <cell r="D174">
            <v>91.48</v>
          </cell>
          <cell r="F174">
            <v>65.34</v>
          </cell>
          <cell r="H174">
            <v>73.459999999999994</v>
          </cell>
          <cell r="J174">
            <v>102.84</v>
          </cell>
          <cell r="L174">
            <v>36.67</v>
          </cell>
          <cell r="N174">
            <v>26.19</v>
          </cell>
        </row>
        <row r="175">
          <cell r="C175">
            <v>55</v>
          </cell>
          <cell r="D175">
            <v>93.13</v>
          </cell>
          <cell r="F175">
            <v>66.52</v>
          </cell>
          <cell r="H175">
            <v>74.81</v>
          </cell>
          <cell r="J175">
            <v>104.73</v>
          </cell>
          <cell r="L175">
            <v>37.31</v>
          </cell>
          <cell r="N175">
            <v>26.65</v>
          </cell>
        </row>
        <row r="176">
          <cell r="C176">
            <v>56</v>
          </cell>
          <cell r="D176">
            <v>94.78</v>
          </cell>
          <cell r="F176">
            <v>67.7</v>
          </cell>
          <cell r="H176">
            <v>76.16</v>
          </cell>
          <cell r="J176">
            <v>106.62</v>
          </cell>
          <cell r="L176">
            <v>37.94</v>
          </cell>
          <cell r="N176">
            <v>27.1</v>
          </cell>
        </row>
        <row r="177">
          <cell r="C177">
            <v>57</v>
          </cell>
          <cell r="D177">
            <v>96.42</v>
          </cell>
          <cell r="F177">
            <v>68.87</v>
          </cell>
          <cell r="H177">
            <v>77.510000000000005</v>
          </cell>
          <cell r="J177">
            <v>108.51</v>
          </cell>
          <cell r="L177">
            <v>38.58</v>
          </cell>
          <cell r="N177">
            <v>27.56</v>
          </cell>
        </row>
        <row r="178">
          <cell r="C178">
            <v>58</v>
          </cell>
          <cell r="D178">
            <v>98.07</v>
          </cell>
          <cell r="F178">
            <v>70.05</v>
          </cell>
          <cell r="H178">
            <v>78.86</v>
          </cell>
          <cell r="J178">
            <v>110.4</v>
          </cell>
          <cell r="L178">
            <v>39.21</v>
          </cell>
          <cell r="N178">
            <v>28.01</v>
          </cell>
        </row>
        <row r="179">
          <cell r="C179">
            <v>59</v>
          </cell>
          <cell r="D179">
            <v>99.71</v>
          </cell>
          <cell r="F179">
            <v>71.22</v>
          </cell>
          <cell r="H179">
            <v>80.209999999999994</v>
          </cell>
          <cell r="J179">
            <v>112.29</v>
          </cell>
          <cell r="L179">
            <v>39.85</v>
          </cell>
          <cell r="N179">
            <v>28.46</v>
          </cell>
        </row>
        <row r="180">
          <cell r="C180">
            <v>60</v>
          </cell>
          <cell r="D180">
            <v>101.36</v>
          </cell>
          <cell r="F180">
            <v>72.400000000000006</v>
          </cell>
          <cell r="H180">
            <v>81.56</v>
          </cell>
          <cell r="J180">
            <v>114.18</v>
          </cell>
          <cell r="L180">
            <v>40.49</v>
          </cell>
          <cell r="N180">
            <v>28.92</v>
          </cell>
        </row>
        <row r="181">
          <cell r="C181">
            <v>61</v>
          </cell>
          <cell r="D181">
            <v>103</v>
          </cell>
          <cell r="F181">
            <v>73.569999999999993</v>
          </cell>
          <cell r="H181">
            <v>82.9</v>
          </cell>
          <cell r="J181">
            <v>116.06</v>
          </cell>
          <cell r="L181">
            <v>41.12</v>
          </cell>
          <cell r="N181">
            <v>29.37</v>
          </cell>
        </row>
        <row r="182">
          <cell r="C182">
            <v>62</v>
          </cell>
          <cell r="D182">
            <v>104.65</v>
          </cell>
          <cell r="F182">
            <v>74.75</v>
          </cell>
          <cell r="H182">
            <v>84.25</v>
          </cell>
          <cell r="J182">
            <v>117.95</v>
          </cell>
          <cell r="L182">
            <v>41.76</v>
          </cell>
          <cell r="N182">
            <v>29.83</v>
          </cell>
        </row>
        <row r="183">
          <cell r="C183">
            <v>63</v>
          </cell>
          <cell r="D183">
            <v>106.3</v>
          </cell>
          <cell r="F183">
            <v>75.930000000000007</v>
          </cell>
          <cell r="H183">
            <v>85.6</v>
          </cell>
          <cell r="J183">
            <v>119.84</v>
          </cell>
          <cell r="L183">
            <v>42.39</v>
          </cell>
          <cell r="N183">
            <v>30.28</v>
          </cell>
        </row>
        <row r="184">
          <cell r="C184">
            <v>64</v>
          </cell>
          <cell r="D184">
            <v>107.94</v>
          </cell>
          <cell r="F184">
            <v>77.099999999999994</v>
          </cell>
          <cell r="H184">
            <v>86.95</v>
          </cell>
          <cell r="J184">
            <v>121.73</v>
          </cell>
          <cell r="L184">
            <v>43.03</v>
          </cell>
          <cell r="N184">
            <v>30.74</v>
          </cell>
        </row>
        <row r="185">
          <cell r="C185">
            <v>65</v>
          </cell>
          <cell r="D185">
            <v>109.59</v>
          </cell>
          <cell r="F185">
            <v>78.28</v>
          </cell>
          <cell r="H185">
            <v>88.3</v>
          </cell>
          <cell r="J185">
            <v>123.62</v>
          </cell>
          <cell r="L185">
            <v>43.67</v>
          </cell>
          <cell r="N185">
            <v>31.19</v>
          </cell>
        </row>
        <row r="186">
          <cell r="C186">
            <v>66</v>
          </cell>
          <cell r="D186">
            <v>111.23</v>
          </cell>
          <cell r="F186">
            <v>79.45</v>
          </cell>
          <cell r="H186">
            <v>89.65</v>
          </cell>
          <cell r="J186">
            <v>125.51</v>
          </cell>
          <cell r="L186">
            <v>44.3</v>
          </cell>
          <cell r="N186">
            <v>31.64</v>
          </cell>
        </row>
        <row r="187">
          <cell r="C187">
            <v>67</v>
          </cell>
          <cell r="D187">
            <v>112.88</v>
          </cell>
          <cell r="F187">
            <v>80.63</v>
          </cell>
          <cell r="H187">
            <v>90.99</v>
          </cell>
          <cell r="J187">
            <v>127.39</v>
          </cell>
          <cell r="L187">
            <v>44.94</v>
          </cell>
          <cell r="N187">
            <v>32.1</v>
          </cell>
        </row>
        <row r="188">
          <cell r="C188">
            <v>68</v>
          </cell>
          <cell r="D188">
            <v>114.52</v>
          </cell>
          <cell r="F188">
            <v>81.8</v>
          </cell>
          <cell r="H188">
            <v>92.34</v>
          </cell>
          <cell r="J188">
            <v>129.28</v>
          </cell>
          <cell r="L188">
            <v>45.58</v>
          </cell>
          <cell r="N188">
            <v>32.56</v>
          </cell>
        </row>
        <row r="189">
          <cell r="C189">
            <v>69</v>
          </cell>
          <cell r="D189">
            <v>116.17</v>
          </cell>
          <cell r="F189">
            <v>82.98</v>
          </cell>
          <cell r="H189">
            <v>93.69</v>
          </cell>
          <cell r="J189">
            <v>131.16999999999999</v>
          </cell>
          <cell r="L189">
            <v>46.21</v>
          </cell>
          <cell r="N189">
            <v>33.01</v>
          </cell>
        </row>
        <row r="190">
          <cell r="C190">
            <v>70</v>
          </cell>
          <cell r="D190">
            <v>117.82</v>
          </cell>
          <cell r="F190">
            <v>84.16</v>
          </cell>
          <cell r="H190">
            <v>95.04</v>
          </cell>
          <cell r="J190">
            <v>133.06</v>
          </cell>
          <cell r="L190">
            <v>46.85</v>
          </cell>
          <cell r="N190">
            <v>33.46</v>
          </cell>
        </row>
        <row r="191">
          <cell r="C191">
            <v>71</v>
          </cell>
          <cell r="D191">
            <v>119.46</v>
          </cell>
          <cell r="F191">
            <v>85.33</v>
          </cell>
          <cell r="H191">
            <v>96.39</v>
          </cell>
          <cell r="J191">
            <v>134.94999999999999</v>
          </cell>
          <cell r="L191">
            <v>47.48</v>
          </cell>
          <cell r="N191">
            <v>33.909999999999997</v>
          </cell>
        </row>
        <row r="192">
          <cell r="C192">
            <v>72</v>
          </cell>
          <cell r="D192">
            <v>121.11</v>
          </cell>
          <cell r="F192">
            <v>86.51</v>
          </cell>
          <cell r="H192">
            <v>97.74</v>
          </cell>
          <cell r="J192">
            <v>136.84</v>
          </cell>
          <cell r="L192">
            <v>48.12</v>
          </cell>
          <cell r="N192">
            <v>34.369999999999997</v>
          </cell>
        </row>
        <row r="193">
          <cell r="C193">
            <v>73</v>
          </cell>
          <cell r="D193">
            <v>122.75</v>
          </cell>
          <cell r="F193">
            <v>87.68</v>
          </cell>
          <cell r="H193">
            <v>99.08</v>
          </cell>
          <cell r="J193">
            <v>138.71</v>
          </cell>
          <cell r="L193">
            <v>48.76</v>
          </cell>
          <cell r="N193">
            <v>34.83</v>
          </cell>
        </row>
        <row r="194">
          <cell r="C194">
            <v>74</v>
          </cell>
          <cell r="D194">
            <v>124.4</v>
          </cell>
          <cell r="F194">
            <v>88.86</v>
          </cell>
          <cell r="H194">
            <v>100.43</v>
          </cell>
          <cell r="J194">
            <v>140.6</v>
          </cell>
          <cell r="L194">
            <v>49.39</v>
          </cell>
          <cell r="N194">
            <v>35.28</v>
          </cell>
        </row>
        <row r="195">
          <cell r="C195">
            <v>75</v>
          </cell>
          <cell r="D195">
            <v>126.04</v>
          </cell>
          <cell r="F195">
            <v>90.03</v>
          </cell>
          <cell r="H195">
            <v>101.78</v>
          </cell>
          <cell r="J195">
            <v>142.49</v>
          </cell>
          <cell r="L195">
            <v>50.03</v>
          </cell>
          <cell r="N195">
            <v>35.74</v>
          </cell>
        </row>
        <row r="196">
          <cell r="C196">
            <v>76</v>
          </cell>
          <cell r="D196">
            <v>127.69</v>
          </cell>
          <cell r="F196">
            <v>91.21</v>
          </cell>
          <cell r="H196">
            <v>103.13</v>
          </cell>
          <cell r="J196">
            <v>144.38</v>
          </cell>
          <cell r="L196">
            <v>50.67</v>
          </cell>
          <cell r="N196">
            <v>36.19</v>
          </cell>
        </row>
        <row r="197">
          <cell r="C197">
            <v>77</v>
          </cell>
          <cell r="D197">
            <v>129.34</v>
          </cell>
          <cell r="F197">
            <v>92.39</v>
          </cell>
          <cell r="H197">
            <v>104.48</v>
          </cell>
          <cell r="J197">
            <v>146.27000000000001</v>
          </cell>
          <cell r="L197">
            <v>51.3</v>
          </cell>
          <cell r="N197">
            <v>36.64</v>
          </cell>
        </row>
        <row r="198">
          <cell r="C198">
            <v>78</v>
          </cell>
          <cell r="D198">
            <v>130.97999999999999</v>
          </cell>
          <cell r="F198">
            <v>93.56</v>
          </cell>
          <cell r="H198">
            <v>105.83</v>
          </cell>
          <cell r="J198">
            <v>148.16</v>
          </cell>
          <cell r="L198">
            <v>51.94</v>
          </cell>
          <cell r="N198">
            <v>37.1</v>
          </cell>
        </row>
        <row r="199">
          <cell r="C199">
            <v>79</v>
          </cell>
          <cell r="D199">
            <v>132.63</v>
          </cell>
          <cell r="F199">
            <v>94.74</v>
          </cell>
          <cell r="H199">
            <v>107.17</v>
          </cell>
          <cell r="J199">
            <v>150.04</v>
          </cell>
          <cell r="L199">
            <v>52.57</v>
          </cell>
          <cell r="N199">
            <v>37.549999999999997</v>
          </cell>
        </row>
        <row r="200">
          <cell r="C200">
            <v>80</v>
          </cell>
          <cell r="D200">
            <v>134.27000000000001</v>
          </cell>
          <cell r="F200">
            <v>95.91</v>
          </cell>
          <cell r="H200">
            <v>108.52</v>
          </cell>
          <cell r="J200">
            <v>151.93</v>
          </cell>
          <cell r="L200">
            <v>53.21</v>
          </cell>
          <cell r="N200">
            <v>38.01</v>
          </cell>
        </row>
        <row r="201">
          <cell r="C201">
            <v>81</v>
          </cell>
          <cell r="D201">
            <v>135.91999999999999</v>
          </cell>
          <cell r="F201">
            <v>97.09</v>
          </cell>
          <cell r="H201">
            <v>109.87</v>
          </cell>
          <cell r="J201">
            <v>153.82</v>
          </cell>
          <cell r="L201">
            <v>53.85</v>
          </cell>
          <cell r="N201">
            <v>38.46</v>
          </cell>
        </row>
        <row r="202">
          <cell r="C202">
            <v>82</v>
          </cell>
          <cell r="D202">
            <v>137.56</v>
          </cell>
          <cell r="F202">
            <v>98.26</v>
          </cell>
          <cell r="H202">
            <v>111.22</v>
          </cell>
          <cell r="J202">
            <v>155.71</v>
          </cell>
          <cell r="L202">
            <v>54.48</v>
          </cell>
          <cell r="N202">
            <v>38.909999999999997</v>
          </cell>
        </row>
        <row r="203">
          <cell r="C203">
            <v>83</v>
          </cell>
          <cell r="D203">
            <v>139.21</v>
          </cell>
          <cell r="F203">
            <v>99.44</v>
          </cell>
          <cell r="H203">
            <v>112.57</v>
          </cell>
          <cell r="J203">
            <v>157.6</v>
          </cell>
          <cell r="L203">
            <v>55.12</v>
          </cell>
          <cell r="N203">
            <v>39.369999999999997</v>
          </cell>
        </row>
        <row r="204">
          <cell r="C204">
            <v>84</v>
          </cell>
          <cell r="D204">
            <v>140.86000000000001</v>
          </cell>
          <cell r="F204">
            <v>100.61</v>
          </cell>
          <cell r="H204">
            <v>113.92</v>
          </cell>
          <cell r="J204">
            <v>159.49</v>
          </cell>
          <cell r="L204">
            <v>55.76</v>
          </cell>
          <cell r="N204">
            <v>39.83</v>
          </cell>
        </row>
        <row r="205">
          <cell r="C205">
            <v>85</v>
          </cell>
          <cell r="D205">
            <v>142.5</v>
          </cell>
          <cell r="F205">
            <v>101.79</v>
          </cell>
          <cell r="H205">
            <v>115.26</v>
          </cell>
          <cell r="J205">
            <v>161.36000000000001</v>
          </cell>
          <cell r="L205">
            <v>56.39</v>
          </cell>
          <cell r="N205">
            <v>40.28</v>
          </cell>
        </row>
        <row r="206">
          <cell r="C206">
            <v>86</v>
          </cell>
          <cell r="D206">
            <v>144.15</v>
          </cell>
          <cell r="F206">
            <v>102.96</v>
          </cell>
          <cell r="H206">
            <v>116.61</v>
          </cell>
          <cell r="J206">
            <v>163.25</v>
          </cell>
          <cell r="L206">
            <v>57.03</v>
          </cell>
          <cell r="N206">
            <v>40.74</v>
          </cell>
        </row>
        <row r="207">
          <cell r="C207">
            <v>87</v>
          </cell>
          <cell r="D207">
            <v>145.79</v>
          </cell>
          <cell r="F207">
            <v>104.14</v>
          </cell>
          <cell r="H207">
            <v>117.96</v>
          </cell>
          <cell r="J207">
            <v>165.14</v>
          </cell>
          <cell r="L207">
            <v>57.66</v>
          </cell>
          <cell r="N207">
            <v>41.19</v>
          </cell>
        </row>
        <row r="208">
          <cell r="C208">
            <v>88</v>
          </cell>
          <cell r="D208">
            <v>147.44</v>
          </cell>
          <cell r="F208">
            <v>105.31</v>
          </cell>
          <cell r="H208">
            <v>119.31</v>
          </cell>
          <cell r="J208">
            <v>167.03</v>
          </cell>
          <cell r="L208">
            <v>58.3</v>
          </cell>
          <cell r="N208">
            <v>41.64</v>
          </cell>
        </row>
        <row r="209">
          <cell r="C209">
            <v>89</v>
          </cell>
          <cell r="D209">
            <v>149.08000000000001</v>
          </cell>
          <cell r="F209">
            <v>106.49</v>
          </cell>
          <cell r="H209">
            <v>120.66</v>
          </cell>
          <cell r="J209">
            <v>168.92</v>
          </cell>
          <cell r="L209">
            <v>58.94</v>
          </cell>
          <cell r="N209">
            <v>42.1</v>
          </cell>
        </row>
        <row r="210">
          <cell r="C210">
            <v>90</v>
          </cell>
          <cell r="D210">
            <v>150.72999999999999</v>
          </cell>
          <cell r="F210">
            <v>107.66</v>
          </cell>
          <cell r="H210">
            <v>122.01</v>
          </cell>
          <cell r="J210">
            <v>170.81</v>
          </cell>
          <cell r="L210">
            <v>59.57</v>
          </cell>
          <cell r="N210">
            <v>42.55</v>
          </cell>
        </row>
        <row r="211">
          <cell r="C211">
            <v>91</v>
          </cell>
          <cell r="D211">
            <v>152.38</v>
          </cell>
          <cell r="F211">
            <v>108.84</v>
          </cell>
          <cell r="H211">
            <v>123.36</v>
          </cell>
          <cell r="J211">
            <v>172.7</v>
          </cell>
          <cell r="L211">
            <v>60.21</v>
          </cell>
          <cell r="N211">
            <v>43.01</v>
          </cell>
        </row>
        <row r="212">
          <cell r="C212">
            <v>92</v>
          </cell>
          <cell r="D212">
            <v>154.02000000000001</v>
          </cell>
          <cell r="F212">
            <v>110.01</v>
          </cell>
          <cell r="H212">
            <v>124.7</v>
          </cell>
          <cell r="J212">
            <v>174.58</v>
          </cell>
          <cell r="L212">
            <v>60.85</v>
          </cell>
          <cell r="N212">
            <v>43.46</v>
          </cell>
        </row>
        <row r="213">
          <cell r="C213">
            <v>93</v>
          </cell>
          <cell r="D213">
            <v>155.66999999999999</v>
          </cell>
          <cell r="F213">
            <v>111.19</v>
          </cell>
          <cell r="H213">
            <v>126.05</v>
          </cell>
          <cell r="J213">
            <v>176.47</v>
          </cell>
          <cell r="L213">
            <v>61.48</v>
          </cell>
          <cell r="N213">
            <v>43.91</v>
          </cell>
        </row>
        <row r="214">
          <cell r="C214">
            <v>94</v>
          </cell>
          <cell r="D214">
            <v>157.31</v>
          </cell>
          <cell r="F214">
            <v>112.36</v>
          </cell>
          <cell r="H214">
            <v>127.4</v>
          </cell>
          <cell r="J214">
            <v>178.36</v>
          </cell>
          <cell r="L214">
            <v>62.12</v>
          </cell>
          <cell r="N214">
            <v>44.37</v>
          </cell>
        </row>
        <row r="215">
          <cell r="C215">
            <v>95</v>
          </cell>
          <cell r="D215">
            <v>158.96</v>
          </cell>
          <cell r="F215">
            <v>113.54</v>
          </cell>
          <cell r="H215">
            <v>128.75</v>
          </cell>
          <cell r="J215">
            <v>180.25</v>
          </cell>
          <cell r="L215">
            <v>62.75</v>
          </cell>
          <cell r="N215">
            <v>44.82</v>
          </cell>
        </row>
        <row r="216">
          <cell r="C216">
            <v>96</v>
          </cell>
          <cell r="D216">
            <v>160.6</v>
          </cell>
          <cell r="F216">
            <v>114.71</v>
          </cell>
          <cell r="H216">
            <v>130.1</v>
          </cell>
          <cell r="J216">
            <v>182.14</v>
          </cell>
          <cell r="L216">
            <v>63.39</v>
          </cell>
          <cell r="N216">
            <v>45.28</v>
          </cell>
        </row>
        <row r="217">
          <cell r="C217">
            <v>97</v>
          </cell>
          <cell r="D217">
            <v>162.25</v>
          </cell>
          <cell r="F217">
            <v>115.89</v>
          </cell>
          <cell r="H217">
            <v>131.44999999999999</v>
          </cell>
          <cell r="J217">
            <v>184.03</v>
          </cell>
          <cell r="L217">
            <v>64.03</v>
          </cell>
          <cell r="N217">
            <v>45.74</v>
          </cell>
        </row>
        <row r="218">
          <cell r="C218">
            <v>98</v>
          </cell>
          <cell r="D218">
            <v>163.9</v>
          </cell>
          <cell r="F218">
            <v>117.07</v>
          </cell>
          <cell r="H218">
            <v>132.79</v>
          </cell>
          <cell r="J218">
            <v>185.91</v>
          </cell>
          <cell r="L218">
            <v>64.66</v>
          </cell>
          <cell r="N218">
            <v>46.19</v>
          </cell>
        </row>
        <row r="219">
          <cell r="C219">
            <v>99</v>
          </cell>
          <cell r="D219">
            <v>165.54</v>
          </cell>
          <cell r="F219">
            <v>118.24</v>
          </cell>
          <cell r="H219">
            <v>134.13999999999999</v>
          </cell>
          <cell r="J219">
            <v>187.8</v>
          </cell>
          <cell r="L219">
            <v>65.3</v>
          </cell>
          <cell r="N219">
            <v>46.64</v>
          </cell>
        </row>
        <row r="220">
          <cell r="C220">
            <v>100</v>
          </cell>
          <cell r="D220">
            <v>167.19</v>
          </cell>
          <cell r="F220">
            <v>119.42</v>
          </cell>
          <cell r="H220">
            <v>135.49</v>
          </cell>
          <cell r="J220">
            <v>189.69</v>
          </cell>
          <cell r="L220">
            <v>65.94</v>
          </cell>
          <cell r="N220">
            <v>47.1</v>
          </cell>
        </row>
        <row r="221">
          <cell r="C221">
            <v>101</v>
          </cell>
          <cell r="D221">
            <v>168.83</v>
          </cell>
          <cell r="F221">
            <v>120.59</v>
          </cell>
          <cell r="H221">
            <v>136.84</v>
          </cell>
          <cell r="J221">
            <v>191.58</v>
          </cell>
          <cell r="L221">
            <v>66.569999999999993</v>
          </cell>
          <cell r="N221">
            <v>47.55</v>
          </cell>
        </row>
        <row r="222">
          <cell r="C222">
            <v>102</v>
          </cell>
          <cell r="D222">
            <v>170.48</v>
          </cell>
          <cell r="F222">
            <v>121.77</v>
          </cell>
          <cell r="H222">
            <v>138.19</v>
          </cell>
          <cell r="J222">
            <v>193.47</v>
          </cell>
          <cell r="L222">
            <v>67.209999999999994</v>
          </cell>
          <cell r="N222">
            <v>48.01</v>
          </cell>
        </row>
        <row r="223">
          <cell r="C223">
            <v>103</v>
          </cell>
          <cell r="D223">
            <v>172.13</v>
          </cell>
          <cell r="F223">
            <v>122.95</v>
          </cell>
          <cell r="H223">
            <v>139.54</v>
          </cell>
          <cell r="J223">
            <v>195.36</v>
          </cell>
          <cell r="L223">
            <v>67.84</v>
          </cell>
          <cell r="N223">
            <v>48.46</v>
          </cell>
        </row>
        <row r="224">
          <cell r="C224">
            <v>104</v>
          </cell>
          <cell r="D224">
            <v>173.77</v>
          </cell>
          <cell r="F224">
            <v>124.12</v>
          </cell>
          <cell r="H224">
            <v>140.88</v>
          </cell>
          <cell r="J224">
            <v>197.23</v>
          </cell>
          <cell r="L224">
            <v>68.48</v>
          </cell>
          <cell r="N224">
            <v>48.91</v>
          </cell>
        </row>
        <row r="225">
          <cell r="C225">
            <v>105</v>
          </cell>
          <cell r="D225">
            <v>175.42</v>
          </cell>
          <cell r="F225">
            <v>125.3</v>
          </cell>
          <cell r="H225">
            <v>142.22999999999999</v>
          </cell>
          <cell r="J225">
            <v>199.12</v>
          </cell>
          <cell r="L225">
            <v>69.12</v>
          </cell>
          <cell r="N225">
            <v>49.37</v>
          </cell>
        </row>
        <row r="226">
          <cell r="C226">
            <v>106</v>
          </cell>
          <cell r="D226">
            <v>177.06</v>
          </cell>
          <cell r="F226">
            <v>126.47</v>
          </cell>
          <cell r="H226">
            <v>143.58000000000001</v>
          </cell>
          <cell r="J226">
            <v>201.01</v>
          </cell>
          <cell r="L226">
            <v>69.75</v>
          </cell>
          <cell r="N226">
            <v>49.82</v>
          </cell>
        </row>
        <row r="227">
          <cell r="C227">
            <v>107</v>
          </cell>
          <cell r="D227">
            <v>178.71</v>
          </cell>
          <cell r="F227">
            <v>127.65</v>
          </cell>
          <cell r="H227">
            <v>144.93</v>
          </cell>
          <cell r="J227">
            <v>202.9</v>
          </cell>
          <cell r="L227">
            <v>70.39</v>
          </cell>
          <cell r="N227">
            <v>50.28</v>
          </cell>
        </row>
        <row r="228">
          <cell r="C228">
            <v>108</v>
          </cell>
          <cell r="D228">
            <v>180.35</v>
          </cell>
          <cell r="F228">
            <v>128.82</v>
          </cell>
          <cell r="H228">
            <v>146.28</v>
          </cell>
          <cell r="J228">
            <v>204.79</v>
          </cell>
          <cell r="L228">
            <v>71.03</v>
          </cell>
          <cell r="N228">
            <v>50.74</v>
          </cell>
        </row>
        <row r="229">
          <cell r="C229">
            <v>109</v>
          </cell>
          <cell r="D229">
            <v>182</v>
          </cell>
          <cell r="F229">
            <v>130</v>
          </cell>
          <cell r="H229">
            <v>147.63</v>
          </cell>
          <cell r="J229">
            <v>206.68</v>
          </cell>
          <cell r="L229">
            <v>71.66</v>
          </cell>
          <cell r="N229">
            <v>51.19</v>
          </cell>
        </row>
        <row r="230">
          <cell r="C230">
            <v>110</v>
          </cell>
          <cell r="D230">
            <v>183.65</v>
          </cell>
          <cell r="F230">
            <v>131.18</v>
          </cell>
          <cell r="H230">
            <v>148.97</v>
          </cell>
          <cell r="J230">
            <v>208.56</v>
          </cell>
          <cell r="L230">
            <v>72.3</v>
          </cell>
          <cell r="N230">
            <v>51.64</v>
          </cell>
        </row>
        <row r="231">
          <cell r="C231">
            <v>111</v>
          </cell>
          <cell r="D231">
            <v>185.29</v>
          </cell>
          <cell r="F231">
            <v>132.35</v>
          </cell>
          <cell r="H231">
            <v>150.32</v>
          </cell>
          <cell r="J231">
            <v>210.45</v>
          </cell>
          <cell r="L231">
            <v>72.930000000000007</v>
          </cell>
          <cell r="N231">
            <v>52.09</v>
          </cell>
        </row>
        <row r="232">
          <cell r="C232">
            <v>112</v>
          </cell>
          <cell r="D232">
            <v>186.94</v>
          </cell>
          <cell r="F232">
            <v>133.53</v>
          </cell>
          <cell r="H232">
            <v>151.66999999999999</v>
          </cell>
          <cell r="J232">
            <v>212.34</v>
          </cell>
          <cell r="L232">
            <v>73.569999999999993</v>
          </cell>
          <cell r="N232">
            <v>52.55</v>
          </cell>
        </row>
        <row r="233">
          <cell r="C233">
            <v>113</v>
          </cell>
          <cell r="D233">
            <v>188.58</v>
          </cell>
          <cell r="F233">
            <v>134.69999999999999</v>
          </cell>
          <cell r="H233">
            <v>153.02000000000001</v>
          </cell>
          <cell r="J233">
            <v>214.23</v>
          </cell>
          <cell r="L233">
            <v>74.209999999999994</v>
          </cell>
          <cell r="N233">
            <v>53.01</v>
          </cell>
        </row>
        <row r="234">
          <cell r="C234">
            <v>114</v>
          </cell>
          <cell r="D234">
            <v>190.23</v>
          </cell>
          <cell r="F234">
            <v>135.88</v>
          </cell>
          <cell r="H234">
            <v>154.37</v>
          </cell>
          <cell r="J234">
            <v>216.12</v>
          </cell>
          <cell r="L234">
            <v>74.84</v>
          </cell>
          <cell r="N234">
            <v>53.46</v>
          </cell>
        </row>
        <row r="235">
          <cell r="C235">
            <v>115</v>
          </cell>
          <cell r="D235">
            <v>191.87</v>
          </cell>
          <cell r="F235">
            <v>137.05000000000001</v>
          </cell>
          <cell r="H235">
            <v>155.72</v>
          </cell>
          <cell r="J235">
            <v>218.01</v>
          </cell>
          <cell r="L235">
            <v>75.48</v>
          </cell>
          <cell r="N235">
            <v>53.91</v>
          </cell>
        </row>
        <row r="236">
          <cell r="C236">
            <v>116</v>
          </cell>
          <cell r="D236">
            <v>193.52</v>
          </cell>
          <cell r="F236">
            <v>138.22999999999999</v>
          </cell>
          <cell r="H236">
            <v>157.06</v>
          </cell>
          <cell r="J236">
            <v>219.88</v>
          </cell>
          <cell r="L236">
            <v>76.12</v>
          </cell>
          <cell r="N236">
            <v>54.37</v>
          </cell>
        </row>
        <row r="237">
          <cell r="C237">
            <v>117</v>
          </cell>
          <cell r="D237">
            <v>195.17</v>
          </cell>
          <cell r="F237">
            <v>139.41</v>
          </cell>
          <cell r="H237">
            <v>158.41</v>
          </cell>
          <cell r="J237">
            <v>221.77</v>
          </cell>
          <cell r="L237">
            <v>76.75</v>
          </cell>
          <cell r="N237">
            <v>54.82</v>
          </cell>
        </row>
        <row r="238">
          <cell r="C238">
            <v>118</v>
          </cell>
          <cell r="D238">
            <v>196.81</v>
          </cell>
          <cell r="F238">
            <v>140.58000000000001</v>
          </cell>
          <cell r="H238">
            <v>159.76</v>
          </cell>
          <cell r="J238">
            <v>223.66</v>
          </cell>
          <cell r="L238">
            <v>77.39</v>
          </cell>
          <cell r="N238">
            <v>55.28</v>
          </cell>
        </row>
        <row r="239">
          <cell r="C239">
            <v>119</v>
          </cell>
          <cell r="D239">
            <v>198.46</v>
          </cell>
          <cell r="F239">
            <v>141.76</v>
          </cell>
          <cell r="H239">
            <v>161.11000000000001</v>
          </cell>
          <cell r="J239">
            <v>225.55</v>
          </cell>
          <cell r="L239">
            <v>78.02</v>
          </cell>
          <cell r="N239">
            <v>55.73</v>
          </cell>
        </row>
        <row r="240">
          <cell r="C240">
            <v>120</v>
          </cell>
          <cell r="D240">
            <v>200.1</v>
          </cell>
          <cell r="F240">
            <v>142.93</v>
          </cell>
          <cell r="H240">
            <v>162.46</v>
          </cell>
          <cell r="J240">
            <v>227.44</v>
          </cell>
          <cell r="L240">
            <v>78.66</v>
          </cell>
          <cell r="N240">
            <v>56.19</v>
          </cell>
        </row>
        <row r="241">
          <cell r="C241">
            <v>121</v>
          </cell>
          <cell r="D241">
            <v>201.75</v>
          </cell>
          <cell r="F241">
            <v>144.11000000000001</v>
          </cell>
          <cell r="H241">
            <v>163.81</v>
          </cell>
          <cell r="J241">
            <v>229.33</v>
          </cell>
          <cell r="L241">
            <v>79.3</v>
          </cell>
          <cell r="N241">
            <v>56.64</v>
          </cell>
        </row>
        <row r="242">
          <cell r="C242">
            <v>122</v>
          </cell>
          <cell r="D242">
            <v>203.39</v>
          </cell>
          <cell r="F242">
            <v>145.28</v>
          </cell>
          <cell r="H242">
            <v>165.16</v>
          </cell>
          <cell r="J242">
            <v>231.22</v>
          </cell>
          <cell r="L242">
            <v>79.930000000000007</v>
          </cell>
          <cell r="N242">
            <v>57.09</v>
          </cell>
        </row>
        <row r="243">
          <cell r="C243">
            <v>123</v>
          </cell>
          <cell r="D243">
            <v>205.04</v>
          </cell>
          <cell r="F243">
            <v>146.46</v>
          </cell>
          <cell r="H243">
            <v>166.5</v>
          </cell>
          <cell r="J243">
            <v>233.1</v>
          </cell>
          <cell r="L243">
            <v>80.569999999999993</v>
          </cell>
          <cell r="N243">
            <v>57.55</v>
          </cell>
        </row>
        <row r="244">
          <cell r="C244">
            <v>124</v>
          </cell>
          <cell r="D244">
            <v>206.69</v>
          </cell>
          <cell r="F244">
            <v>147.63999999999999</v>
          </cell>
          <cell r="H244">
            <v>167.85</v>
          </cell>
          <cell r="J244">
            <v>234.99</v>
          </cell>
          <cell r="L244">
            <v>81.2</v>
          </cell>
          <cell r="N244">
            <v>58</v>
          </cell>
        </row>
        <row r="245">
          <cell r="C245">
            <v>125</v>
          </cell>
          <cell r="D245">
            <v>208.33</v>
          </cell>
          <cell r="F245">
            <v>148.81</v>
          </cell>
          <cell r="H245">
            <v>169.2</v>
          </cell>
          <cell r="J245">
            <v>236.88</v>
          </cell>
          <cell r="L245">
            <v>81.84</v>
          </cell>
          <cell r="N245">
            <v>58.46</v>
          </cell>
        </row>
        <row r="246">
          <cell r="C246">
            <v>126</v>
          </cell>
          <cell r="D246">
            <v>209.98</v>
          </cell>
          <cell r="F246">
            <v>149.99</v>
          </cell>
          <cell r="H246">
            <v>170.55</v>
          </cell>
          <cell r="J246">
            <v>238.77</v>
          </cell>
          <cell r="L246">
            <v>82.48</v>
          </cell>
          <cell r="N246">
            <v>58.91</v>
          </cell>
        </row>
        <row r="247">
          <cell r="C247">
            <v>127</v>
          </cell>
          <cell r="D247">
            <v>211.62</v>
          </cell>
          <cell r="F247">
            <v>151.16</v>
          </cell>
          <cell r="H247">
            <v>171.9</v>
          </cell>
          <cell r="J247">
            <v>240.66</v>
          </cell>
          <cell r="L247">
            <v>83.11</v>
          </cell>
          <cell r="N247">
            <v>59.36</v>
          </cell>
        </row>
        <row r="248">
          <cell r="C248">
            <v>128</v>
          </cell>
          <cell r="D248">
            <v>213.27</v>
          </cell>
          <cell r="F248">
            <v>152.34</v>
          </cell>
          <cell r="H248">
            <v>173.25</v>
          </cell>
          <cell r="J248">
            <v>242.55</v>
          </cell>
          <cell r="L248">
            <v>83.75</v>
          </cell>
          <cell r="N248">
            <v>59.82</v>
          </cell>
        </row>
        <row r="249">
          <cell r="C249">
            <v>129</v>
          </cell>
          <cell r="D249">
            <v>214.91</v>
          </cell>
          <cell r="F249">
            <v>153.51</v>
          </cell>
          <cell r="H249">
            <v>174.59</v>
          </cell>
          <cell r="J249">
            <v>244.43</v>
          </cell>
          <cell r="L249">
            <v>84.39</v>
          </cell>
          <cell r="N249">
            <v>60.28</v>
          </cell>
        </row>
        <row r="250">
          <cell r="C250">
            <v>130</v>
          </cell>
          <cell r="D250">
            <v>216.56</v>
          </cell>
          <cell r="F250">
            <v>154.69</v>
          </cell>
          <cell r="H250">
            <v>175.94</v>
          </cell>
          <cell r="J250">
            <v>246.32</v>
          </cell>
          <cell r="L250">
            <v>85.02</v>
          </cell>
          <cell r="N250">
            <v>60.73</v>
          </cell>
        </row>
        <row r="251">
          <cell r="C251">
            <v>131</v>
          </cell>
          <cell r="D251">
            <v>218.21</v>
          </cell>
          <cell r="F251">
            <v>155.86000000000001</v>
          </cell>
          <cell r="H251">
            <v>177.29</v>
          </cell>
          <cell r="J251">
            <v>248.21</v>
          </cell>
          <cell r="L251">
            <v>85.66</v>
          </cell>
          <cell r="N251">
            <v>61.19</v>
          </cell>
        </row>
        <row r="252">
          <cell r="C252">
            <v>132</v>
          </cell>
          <cell r="D252">
            <v>219.85</v>
          </cell>
          <cell r="F252">
            <v>157.04</v>
          </cell>
          <cell r="H252">
            <v>178.64</v>
          </cell>
          <cell r="J252">
            <v>250.1</v>
          </cell>
          <cell r="L252">
            <v>86.29</v>
          </cell>
          <cell r="N252">
            <v>61.64</v>
          </cell>
        </row>
        <row r="253">
          <cell r="C253">
            <v>133</v>
          </cell>
          <cell r="D253">
            <v>221.5</v>
          </cell>
          <cell r="F253">
            <v>158.21</v>
          </cell>
          <cell r="H253">
            <v>179.99</v>
          </cell>
          <cell r="J253">
            <v>251.99</v>
          </cell>
          <cell r="L253">
            <v>86.93</v>
          </cell>
          <cell r="N253">
            <v>62.09</v>
          </cell>
        </row>
        <row r="254">
          <cell r="C254">
            <v>134</v>
          </cell>
          <cell r="D254">
            <v>223.14</v>
          </cell>
          <cell r="F254">
            <v>159.38999999999999</v>
          </cell>
          <cell r="H254">
            <v>181.34</v>
          </cell>
          <cell r="J254">
            <v>253.88</v>
          </cell>
          <cell r="L254">
            <v>87.57</v>
          </cell>
          <cell r="N254">
            <v>62.55</v>
          </cell>
        </row>
        <row r="255">
          <cell r="C255">
            <v>135</v>
          </cell>
          <cell r="D255">
            <v>224.79</v>
          </cell>
          <cell r="F255">
            <v>160.56</v>
          </cell>
          <cell r="H255">
            <v>182.68</v>
          </cell>
          <cell r="J255">
            <v>255.75</v>
          </cell>
          <cell r="L255">
            <v>88.2</v>
          </cell>
          <cell r="N255">
            <v>63</v>
          </cell>
        </row>
        <row r="256">
          <cell r="C256">
            <v>136</v>
          </cell>
          <cell r="D256">
            <v>226.43</v>
          </cell>
          <cell r="F256">
            <v>161.74</v>
          </cell>
          <cell r="H256">
            <v>184.03</v>
          </cell>
          <cell r="J256">
            <v>257.64</v>
          </cell>
          <cell r="L256">
            <v>88.84</v>
          </cell>
          <cell r="N256">
            <v>63.46</v>
          </cell>
        </row>
        <row r="257">
          <cell r="C257">
            <v>137</v>
          </cell>
          <cell r="D257">
            <v>228.08</v>
          </cell>
          <cell r="F257">
            <v>162.91</v>
          </cell>
          <cell r="H257">
            <v>185.38</v>
          </cell>
          <cell r="J257">
            <v>259.52999999999997</v>
          </cell>
          <cell r="L257">
            <v>89.48</v>
          </cell>
          <cell r="N257">
            <v>63.91</v>
          </cell>
        </row>
        <row r="258">
          <cell r="C258">
            <v>138</v>
          </cell>
          <cell r="D258">
            <v>229.73</v>
          </cell>
          <cell r="F258">
            <v>164.09</v>
          </cell>
          <cell r="H258">
            <v>186.73</v>
          </cell>
          <cell r="J258">
            <v>261.42</v>
          </cell>
          <cell r="L258">
            <v>90.11</v>
          </cell>
          <cell r="N258">
            <v>64.36</v>
          </cell>
        </row>
        <row r="259">
          <cell r="C259">
            <v>139</v>
          </cell>
          <cell r="D259">
            <v>231.37</v>
          </cell>
          <cell r="F259">
            <v>165.26</v>
          </cell>
          <cell r="H259">
            <v>188.08</v>
          </cell>
          <cell r="J259">
            <v>263.31</v>
          </cell>
          <cell r="L259">
            <v>90.75</v>
          </cell>
          <cell r="N259">
            <v>64.819999999999993</v>
          </cell>
        </row>
        <row r="260">
          <cell r="C260">
            <v>140</v>
          </cell>
          <cell r="D260">
            <v>233.02</v>
          </cell>
          <cell r="F260">
            <v>166.44</v>
          </cell>
          <cell r="H260">
            <v>189.43</v>
          </cell>
          <cell r="J260">
            <v>265.2</v>
          </cell>
          <cell r="L260">
            <v>91.38</v>
          </cell>
          <cell r="N260">
            <v>65.27</v>
          </cell>
        </row>
        <row r="261">
          <cell r="C261">
            <v>141</v>
          </cell>
          <cell r="D261">
            <v>234.66</v>
          </cell>
          <cell r="F261">
            <v>167.61</v>
          </cell>
          <cell r="H261">
            <v>190.77</v>
          </cell>
          <cell r="J261">
            <v>267.08</v>
          </cell>
          <cell r="L261">
            <v>92.02</v>
          </cell>
          <cell r="N261">
            <v>65.73</v>
          </cell>
        </row>
        <row r="262">
          <cell r="C262">
            <v>142</v>
          </cell>
          <cell r="D262">
            <v>236.31</v>
          </cell>
          <cell r="F262">
            <v>168.79</v>
          </cell>
          <cell r="H262">
            <v>192.12</v>
          </cell>
          <cell r="J262">
            <v>268.97000000000003</v>
          </cell>
          <cell r="L262">
            <v>92.66</v>
          </cell>
          <cell r="N262">
            <v>66.19</v>
          </cell>
        </row>
        <row r="263">
          <cell r="C263">
            <v>143</v>
          </cell>
          <cell r="D263">
            <v>237.95</v>
          </cell>
          <cell r="F263">
            <v>169.96</v>
          </cell>
          <cell r="H263">
            <v>193.47</v>
          </cell>
          <cell r="J263">
            <v>270.86</v>
          </cell>
          <cell r="L263">
            <v>93.29</v>
          </cell>
          <cell r="N263">
            <v>66.64</v>
          </cell>
        </row>
        <row r="264">
          <cell r="C264">
            <v>144</v>
          </cell>
          <cell r="D264">
            <v>239.6</v>
          </cell>
          <cell r="F264">
            <v>171.14</v>
          </cell>
          <cell r="H264">
            <v>194.82</v>
          </cell>
          <cell r="J264">
            <v>272.75</v>
          </cell>
          <cell r="L264">
            <v>93.93</v>
          </cell>
          <cell r="N264">
            <v>67.09</v>
          </cell>
        </row>
        <row r="265">
          <cell r="C265">
            <v>145</v>
          </cell>
          <cell r="D265">
            <v>241.25</v>
          </cell>
          <cell r="F265">
            <v>172.32</v>
          </cell>
          <cell r="H265">
            <v>196.17</v>
          </cell>
          <cell r="J265">
            <v>274.64</v>
          </cell>
          <cell r="L265">
            <v>94.57</v>
          </cell>
          <cell r="N265">
            <v>67.55</v>
          </cell>
        </row>
        <row r="266">
          <cell r="C266">
            <v>146</v>
          </cell>
          <cell r="D266">
            <v>242.89</v>
          </cell>
          <cell r="F266">
            <v>173.49</v>
          </cell>
          <cell r="H266">
            <v>197.52</v>
          </cell>
          <cell r="J266">
            <v>276.52999999999997</v>
          </cell>
          <cell r="L266">
            <v>95.2</v>
          </cell>
          <cell r="N266">
            <v>68</v>
          </cell>
        </row>
        <row r="267">
          <cell r="C267">
            <v>147</v>
          </cell>
          <cell r="D267">
            <v>244.54</v>
          </cell>
          <cell r="F267">
            <v>174.67</v>
          </cell>
          <cell r="H267">
            <v>198.87</v>
          </cell>
          <cell r="J267">
            <v>278.42</v>
          </cell>
          <cell r="L267">
            <v>95.84</v>
          </cell>
          <cell r="N267">
            <v>68.459999999999994</v>
          </cell>
        </row>
        <row r="268">
          <cell r="C268">
            <v>148</v>
          </cell>
          <cell r="D268">
            <v>246.18</v>
          </cell>
          <cell r="F268">
            <v>175.84</v>
          </cell>
          <cell r="H268">
            <v>200.21</v>
          </cell>
          <cell r="J268">
            <v>280.29000000000002</v>
          </cell>
          <cell r="L268">
            <v>96.47</v>
          </cell>
          <cell r="N268">
            <v>68.91</v>
          </cell>
        </row>
        <row r="269">
          <cell r="C269">
            <v>149</v>
          </cell>
          <cell r="D269">
            <v>247.83</v>
          </cell>
          <cell r="F269">
            <v>177.02</v>
          </cell>
          <cell r="H269">
            <v>201.56</v>
          </cell>
          <cell r="J269">
            <v>282.18</v>
          </cell>
          <cell r="L269">
            <v>97.11</v>
          </cell>
          <cell r="N269">
            <v>69.36</v>
          </cell>
        </row>
        <row r="270">
          <cell r="C270">
            <v>150</v>
          </cell>
          <cell r="D270">
            <v>249.47</v>
          </cell>
          <cell r="F270">
            <v>178.19</v>
          </cell>
          <cell r="H270">
            <v>202.91</v>
          </cell>
          <cell r="J270">
            <v>284.07</v>
          </cell>
          <cell r="L270">
            <v>97.75</v>
          </cell>
          <cell r="N270">
            <v>69.819999999999993</v>
          </cell>
        </row>
        <row r="271">
          <cell r="C271">
            <v>151</v>
          </cell>
          <cell r="D271">
            <v>251.12</v>
          </cell>
          <cell r="F271">
            <v>179.37</v>
          </cell>
          <cell r="H271">
            <v>204.26</v>
          </cell>
          <cell r="J271">
            <v>285.95999999999998</v>
          </cell>
          <cell r="L271">
            <v>98.38</v>
          </cell>
          <cell r="N271">
            <v>70.27</v>
          </cell>
        </row>
        <row r="272">
          <cell r="C272">
            <v>152</v>
          </cell>
          <cell r="D272">
            <v>252.77</v>
          </cell>
          <cell r="F272">
            <v>180.55</v>
          </cell>
          <cell r="H272">
            <v>205.61</v>
          </cell>
          <cell r="J272">
            <v>287.85000000000002</v>
          </cell>
          <cell r="L272">
            <v>99.02</v>
          </cell>
          <cell r="N272">
            <v>70.73</v>
          </cell>
        </row>
        <row r="273">
          <cell r="C273">
            <v>153</v>
          </cell>
          <cell r="D273">
            <v>254.41</v>
          </cell>
          <cell r="F273">
            <v>181.72</v>
          </cell>
          <cell r="H273">
            <v>206.96</v>
          </cell>
          <cell r="J273">
            <v>289.74</v>
          </cell>
          <cell r="L273">
            <v>99.66</v>
          </cell>
          <cell r="N273">
            <v>71.19</v>
          </cell>
        </row>
        <row r="274">
          <cell r="C274">
            <v>154</v>
          </cell>
          <cell r="D274">
            <v>256.06</v>
          </cell>
          <cell r="F274">
            <v>182.9</v>
          </cell>
          <cell r="H274">
            <v>208.3</v>
          </cell>
          <cell r="J274">
            <v>291.62</v>
          </cell>
          <cell r="L274">
            <v>100.29</v>
          </cell>
          <cell r="N274">
            <v>71.64</v>
          </cell>
        </row>
        <row r="275">
          <cell r="C275">
            <v>155</v>
          </cell>
          <cell r="D275">
            <v>257.7</v>
          </cell>
          <cell r="F275">
            <v>184.07</v>
          </cell>
          <cell r="H275">
            <v>209.65</v>
          </cell>
          <cell r="J275">
            <v>293.51</v>
          </cell>
          <cell r="L275">
            <v>100.93</v>
          </cell>
          <cell r="N275">
            <v>72.09</v>
          </cell>
        </row>
        <row r="276">
          <cell r="C276">
            <v>156</v>
          </cell>
          <cell r="D276">
            <v>259.35000000000002</v>
          </cell>
          <cell r="F276">
            <v>185.25</v>
          </cell>
          <cell r="H276">
            <v>211</v>
          </cell>
          <cell r="J276">
            <v>295.39999999999998</v>
          </cell>
          <cell r="L276">
            <v>101.56</v>
          </cell>
          <cell r="N276">
            <v>72.540000000000006</v>
          </cell>
        </row>
        <row r="277">
          <cell r="C277">
            <v>157</v>
          </cell>
          <cell r="D277">
            <v>260.99</v>
          </cell>
          <cell r="F277">
            <v>186.42</v>
          </cell>
          <cell r="H277">
            <v>212.35</v>
          </cell>
          <cell r="J277">
            <v>297.29000000000002</v>
          </cell>
          <cell r="L277">
            <v>102.2</v>
          </cell>
          <cell r="N277">
            <v>73</v>
          </cell>
        </row>
        <row r="278">
          <cell r="C278">
            <v>158</v>
          </cell>
          <cell r="D278">
            <v>262.64</v>
          </cell>
          <cell r="F278">
            <v>187.6</v>
          </cell>
          <cell r="H278">
            <v>213.7</v>
          </cell>
          <cell r="J278">
            <v>299.18</v>
          </cell>
          <cell r="L278">
            <v>102.84</v>
          </cell>
          <cell r="N278">
            <v>73.459999999999994</v>
          </cell>
        </row>
        <row r="279">
          <cell r="C279">
            <v>159</v>
          </cell>
          <cell r="D279">
            <v>264.29000000000002</v>
          </cell>
          <cell r="F279">
            <v>188.78</v>
          </cell>
          <cell r="H279">
            <v>215.05</v>
          </cell>
          <cell r="J279">
            <v>301.07</v>
          </cell>
          <cell r="L279">
            <v>103.47</v>
          </cell>
          <cell r="N279">
            <v>73.91</v>
          </cell>
        </row>
        <row r="280">
          <cell r="C280">
            <v>160</v>
          </cell>
          <cell r="D280">
            <v>265.93</v>
          </cell>
          <cell r="F280">
            <v>189.95</v>
          </cell>
          <cell r="H280">
            <v>216.39</v>
          </cell>
          <cell r="J280">
            <v>302.95</v>
          </cell>
          <cell r="L280">
            <v>104.11</v>
          </cell>
          <cell r="N280">
            <v>74.36</v>
          </cell>
        </row>
        <row r="281">
          <cell r="C281">
            <v>161</v>
          </cell>
          <cell r="D281">
            <v>267.58</v>
          </cell>
          <cell r="F281">
            <v>191.13</v>
          </cell>
          <cell r="H281">
            <v>217.74</v>
          </cell>
          <cell r="J281">
            <v>304.83999999999997</v>
          </cell>
          <cell r="L281">
            <v>104.75</v>
          </cell>
          <cell r="N281">
            <v>74.819999999999993</v>
          </cell>
        </row>
        <row r="282">
          <cell r="C282">
            <v>162</v>
          </cell>
          <cell r="D282">
            <v>269.22000000000003</v>
          </cell>
          <cell r="F282">
            <v>192.3</v>
          </cell>
          <cell r="H282">
            <v>219.09</v>
          </cell>
          <cell r="J282">
            <v>306.73</v>
          </cell>
          <cell r="L282">
            <v>105.38</v>
          </cell>
          <cell r="N282">
            <v>75.27</v>
          </cell>
        </row>
        <row r="283">
          <cell r="C283">
            <v>163</v>
          </cell>
          <cell r="D283">
            <v>270.87</v>
          </cell>
          <cell r="F283">
            <v>193.48</v>
          </cell>
          <cell r="H283">
            <v>220.44</v>
          </cell>
          <cell r="J283">
            <v>308.62</v>
          </cell>
          <cell r="L283">
            <v>106.02</v>
          </cell>
          <cell r="N283">
            <v>75.73</v>
          </cell>
        </row>
        <row r="284">
          <cell r="C284">
            <v>164</v>
          </cell>
          <cell r="D284">
            <v>272.51</v>
          </cell>
          <cell r="F284">
            <v>194.65</v>
          </cell>
          <cell r="H284">
            <v>221.79</v>
          </cell>
          <cell r="J284">
            <v>310.51</v>
          </cell>
          <cell r="L284">
            <v>106.65</v>
          </cell>
          <cell r="N284">
            <v>76.180000000000007</v>
          </cell>
        </row>
        <row r="285">
          <cell r="C285">
            <v>165</v>
          </cell>
          <cell r="D285">
            <v>274.16000000000003</v>
          </cell>
          <cell r="F285">
            <v>195.83</v>
          </cell>
          <cell r="H285">
            <v>223.14</v>
          </cell>
          <cell r="J285">
            <v>312.39999999999998</v>
          </cell>
          <cell r="L285">
            <v>107.29</v>
          </cell>
          <cell r="N285">
            <v>76.64</v>
          </cell>
        </row>
        <row r="286">
          <cell r="C286">
            <v>166</v>
          </cell>
          <cell r="D286">
            <v>275.81</v>
          </cell>
          <cell r="F286">
            <v>197.01</v>
          </cell>
          <cell r="H286">
            <v>224.48</v>
          </cell>
          <cell r="J286">
            <v>314.27</v>
          </cell>
          <cell r="L286">
            <v>107.93</v>
          </cell>
          <cell r="N286">
            <v>77.09</v>
          </cell>
        </row>
        <row r="287">
          <cell r="C287">
            <v>167</v>
          </cell>
          <cell r="D287">
            <v>277.45</v>
          </cell>
          <cell r="F287">
            <v>198.18</v>
          </cell>
          <cell r="H287">
            <v>225.83</v>
          </cell>
          <cell r="J287">
            <v>316.16000000000003</v>
          </cell>
          <cell r="L287">
            <v>108.56</v>
          </cell>
          <cell r="N287">
            <v>77.540000000000006</v>
          </cell>
        </row>
        <row r="288">
          <cell r="C288">
            <v>168</v>
          </cell>
          <cell r="D288">
            <v>279.10000000000002</v>
          </cell>
          <cell r="F288">
            <v>199.36</v>
          </cell>
          <cell r="H288">
            <v>227.18</v>
          </cell>
          <cell r="J288">
            <v>318.05</v>
          </cell>
          <cell r="L288">
            <v>109.2</v>
          </cell>
          <cell r="N288">
            <v>78</v>
          </cell>
        </row>
        <row r="289">
          <cell r="C289">
            <v>169</v>
          </cell>
          <cell r="D289">
            <v>280.74</v>
          </cell>
          <cell r="F289">
            <v>200.53</v>
          </cell>
          <cell r="H289">
            <v>228.53</v>
          </cell>
          <cell r="J289">
            <v>319.94</v>
          </cell>
          <cell r="L289">
            <v>109.84</v>
          </cell>
          <cell r="N289">
            <v>78.459999999999994</v>
          </cell>
        </row>
        <row r="290">
          <cell r="C290">
            <v>170</v>
          </cell>
          <cell r="D290">
            <v>282.39</v>
          </cell>
          <cell r="F290">
            <v>201.71</v>
          </cell>
          <cell r="H290">
            <v>229.88</v>
          </cell>
          <cell r="J290">
            <v>321.83</v>
          </cell>
          <cell r="L290">
            <v>110.47</v>
          </cell>
          <cell r="N290">
            <v>78.91</v>
          </cell>
        </row>
        <row r="291">
          <cell r="C291">
            <v>171</v>
          </cell>
          <cell r="D291">
            <v>284.04000000000002</v>
          </cell>
          <cell r="F291">
            <v>202.89</v>
          </cell>
          <cell r="H291">
            <v>231.23</v>
          </cell>
          <cell r="J291">
            <v>323.72000000000003</v>
          </cell>
          <cell r="L291">
            <v>111.11</v>
          </cell>
          <cell r="N291">
            <v>79.36</v>
          </cell>
        </row>
        <row r="292">
          <cell r="C292">
            <v>172</v>
          </cell>
          <cell r="D292">
            <v>285.68</v>
          </cell>
          <cell r="F292">
            <v>204.06</v>
          </cell>
          <cell r="H292">
            <v>232.57</v>
          </cell>
          <cell r="J292">
            <v>325.60000000000002</v>
          </cell>
          <cell r="L292">
            <v>111.74</v>
          </cell>
          <cell r="N292">
            <v>79.81</v>
          </cell>
        </row>
        <row r="293">
          <cell r="C293">
            <v>173</v>
          </cell>
          <cell r="D293">
            <v>287.33</v>
          </cell>
          <cell r="F293">
            <v>205.24</v>
          </cell>
          <cell r="H293">
            <v>233.92</v>
          </cell>
          <cell r="J293">
            <v>327.49</v>
          </cell>
          <cell r="L293">
            <v>112.38</v>
          </cell>
          <cell r="N293">
            <v>80.27</v>
          </cell>
        </row>
        <row r="294">
          <cell r="C294">
            <v>174</v>
          </cell>
          <cell r="D294">
            <v>288.97000000000003</v>
          </cell>
          <cell r="F294">
            <v>206.41</v>
          </cell>
          <cell r="H294">
            <v>235.27</v>
          </cell>
          <cell r="J294">
            <v>329.38</v>
          </cell>
          <cell r="L294">
            <v>113.02</v>
          </cell>
          <cell r="N294">
            <v>80.73</v>
          </cell>
        </row>
        <row r="295">
          <cell r="C295">
            <v>175</v>
          </cell>
          <cell r="D295">
            <v>290.62</v>
          </cell>
          <cell r="F295">
            <v>207.59</v>
          </cell>
          <cell r="H295">
            <v>236.62</v>
          </cell>
          <cell r="J295">
            <v>331.27</v>
          </cell>
          <cell r="L295">
            <v>113.65</v>
          </cell>
          <cell r="N295">
            <v>81.180000000000007</v>
          </cell>
        </row>
        <row r="296">
          <cell r="C296">
            <v>176</v>
          </cell>
          <cell r="D296">
            <v>292.26</v>
          </cell>
          <cell r="F296">
            <v>208.76</v>
          </cell>
          <cell r="H296">
            <v>237.97</v>
          </cell>
          <cell r="J296">
            <v>333.16</v>
          </cell>
          <cell r="L296">
            <v>114.29</v>
          </cell>
          <cell r="N296">
            <v>81.64</v>
          </cell>
        </row>
        <row r="297">
          <cell r="C297">
            <v>177</v>
          </cell>
          <cell r="D297">
            <v>293.91000000000003</v>
          </cell>
          <cell r="F297">
            <v>209.94</v>
          </cell>
          <cell r="H297">
            <v>239.32</v>
          </cell>
          <cell r="J297">
            <v>335.05</v>
          </cell>
          <cell r="L297">
            <v>114.92</v>
          </cell>
          <cell r="N297">
            <v>82.09</v>
          </cell>
        </row>
        <row r="298">
          <cell r="C298">
            <v>178</v>
          </cell>
          <cell r="D298">
            <v>295.56</v>
          </cell>
          <cell r="F298">
            <v>211.11</v>
          </cell>
          <cell r="H298">
            <v>240.67</v>
          </cell>
          <cell r="J298">
            <v>336.94</v>
          </cell>
          <cell r="L298">
            <v>115.56</v>
          </cell>
          <cell r="N298">
            <v>82.54</v>
          </cell>
        </row>
        <row r="299">
          <cell r="C299">
            <v>179</v>
          </cell>
          <cell r="D299">
            <v>297.2</v>
          </cell>
          <cell r="F299">
            <v>212.29</v>
          </cell>
          <cell r="H299">
            <v>242.01</v>
          </cell>
          <cell r="J299">
            <v>338.81</v>
          </cell>
          <cell r="L299">
            <v>116.2</v>
          </cell>
          <cell r="N299">
            <v>83</v>
          </cell>
        </row>
        <row r="300">
          <cell r="C300">
            <v>180</v>
          </cell>
          <cell r="D300">
            <v>298.85000000000002</v>
          </cell>
          <cell r="F300">
            <v>213.46</v>
          </cell>
          <cell r="H300">
            <v>243.36</v>
          </cell>
          <cell r="J300">
            <v>340.7</v>
          </cell>
          <cell r="L300">
            <v>116.83</v>
          </cell>
          <cell r="N300">
            <v>83.45</v>
          </cell>
        </row>
        <row r="301">
          <cell r="C301">
            <v>181</v>
          </cell>
          <cell r="D301">
            <v>300.49</v>
          </cell>
          <cell r="F301">
            <v>214.64</v>
          </cell>
          <cell r="H301">
            <v>244.71</v>
          </cell>
          <cell r="J301">
            <v>342.59</v>
          </cell>
          <cell r="L301">
            <v>117.47</v>
          </cell>
          <cell r="N301">
            <v>83.91</v>
          </cell>
        </row>
        <row r="302">
          <cell r="C302">
            <v>182</v>
          </cell>
          <cell r="D302">
            <v>302.14</v>
          </cell>
          <cell r="F302">
            <v>215.81</v>
          </cell>
          <cell r="H302">
            <v>246.06</v>
          </cell>
          <cell r="J302">
            <v>344.48</v>
          </cell>
          <cell r="L302">
            <v>118.11</v>
          </cell>
          <cell r="N302">
            <v>84.36</v>
          </cell>
        </row>
        <row r="303">
          <cell r="C303">
            <v>183</v>
          </cell>
          <cell r="D303">
            <v>303.77999999999997</v>
          </cell>
          <cell r="F303">
            <v>216.99</v>
          </cell>
          <cell r="H303">
            <v>247.41</v>
          </cell>
          <cell r="J303">
            <v>346.37</v>
          </cell>
          <cell r="L303">
            <v>118.74</v>
          </cell>
          <cell r="N303">
            <v>84.81</v>
          </cell>
        </row>
        <row r="304">
          <cell r="C304">
            <v>184</v>
          </cell>
          <cell r="D304">
            <v>305.43</v>
          </cell>
          <cell r="F304">
            <v>218.16</v>
          </cell>
          <cell r="H304">
            <v>248.76</v>
          </cell>
          <cell r="J304">
            <v>348.26</v>
          </cell>
          <cell r="L304">
            <v>119.38</v>
          </cell>
          <cell r="N304">
            <v>85.27</v>
          </cell>
        </row>
        <row r="305">
          <cell r="C305">
            <v>185</v>
          </cell>
          <cell r="D305">
            <v>307.08</v>
          </cell>
          <cell r="F305">
            <v>219.34</v>
          </cell>
          <cell r="H305">
            <v>250.1</v>
          </cell>
          <cell r="J305">
            <v>350.14</v>
          </cell>
          <cell r="L305">
            <v>120.01</v>
          </cell>
          <cell r="N305">
            <v>85.72</v>
          </cell>
        </row>
        <row r="306">
          <cell r="C306">
            <v>186</v>
          </cell>
          <cell r="D306">
            <v>308.72000000000003</v>
          </cell>
          <cell r="F306">
            <v>220.51</v>
          </cell>
          <cell r="H306">
            <v>251.45</v>
          </cell>
          <cell r="J306">
            <v>352.03</v>
          </cell>
          <cell r="L306">
            <v>120.65</v>
          </cell>
          <cell r="N306">
            <v>86.18</v>
          </cell>
        </row>
        <row r="307">
          <cell r="C307">
            <v>187</v>
          </cell>
          <cell r="D307">
            <v>310.37</v>
          </cell>
          <cell r="F307">
            <v>221.69</v>
          </cell>
          <cell r="H307">
            <v>252.8</v>
          </cell>
          <cell r="J307">
            <v>353.92</v>
          </cell>
          <cell r="L307">
            <v>121.29</v>
          </cell>
          <cell r="N307">
            <v>86.64</v>
          </cell>
        </row>
        <row r="308">
          <cell r="C308">
            <v>188</v>
          </cell>
          <cell r="D308">
            <v>312.01</v>
          </cell>
          <cell r="F308">
            <v>222.86</v>
          </cell>
          <cell r="H308">
            <v>254.15</v>
          </cell>
          <cell r="J308">
            <v>355.81</v>
          </cell>
          <cell r="L308">
            <v>121.92</v>
          </cell>
          <cell r="N308">
            <v>87.09</v>
          </cell>
        </row>
        <row r="309">
          <cell r="C309">
            <v>189</v>
          </cell>
          <cell r="D309">
            <v>313.66000000000003</v>
          </cell>
          <cell r="F309">
            <v>224.04</v>
          </cell>
          <cell r="H309">
            <v>255.5</v>
          </cell>
          <cell r="J309">
            <v>357.7</v>
          </cell>
          <cell r="L309">
            <v>122.56</v>
          </cell>
          <cell r="N309">
            <v>87.54</v>
          </cell>
        </row>
        <row r="310">
          <cell r="C310">
            <v>190</v>
          </cell>
          <cell r="D310">
            <v>315.3</v>
          </cell>
          <cell r="F310">
            <v>225.21</v>
          </cell>
          <cell r="H310">
            <v>256.85000000000002</v>
          </cell>
          <cell r="J310">
            <v>359.59</v>
          </cell>
          <cell r="L310">
            <v>123.2</v>
          </cell>
          <cell r="N310">
            <v>88</v>
          </cell>
        </row>
        <row r="311">
          <cell r="C311">
            <v>191</v>
          </cell>
          <cell r="D311">
            <v>316.95</v>
          </cell>
          <cell r="F311">
            <v>226.39</v>
          </cell>
          <cell r="H311">
            <v>258.19</v>
          </cell>
          <cell r="J311">
            <v>361.47</v>
          </cell>
          <cell r="L311">
            <v>123.83</v>
          </cell>
          <cell r="N311">
            <v>88.45</v>
          </cell>
        </row>
        <row r="312">
          <cell r="C312">
            <v>192</v>
          </cell>
          <cell r="D312">
            <v>318.60000000000002</v>
          </cell>
          <cell r="F312">
            <v>227.57</v>
          </cell>
          <cell r="H312">
            <v>259.54000000000002</v>
          </cell>
          <cell r="J312">
            <v>363.36</v>
          </cell>
          <cell r="L312">
            <v>124.47</v>
          </cell>
          <cell r="N312">
            <v>88.91</v>
          </cell>
        </row>
        <row r="313">
          <cell r="C313">
            <v>193</v>
          </cell>
          <cell r="D313">
            <v>320.24</v>
          </cell>
          <cell r="F313">
            <v>228.74</v>
          </cell>
          <cell r="H313">
            <v>260.89</v>
          </cell>
          <cell r="J313">
            <v>365.25</v>
          </cell>
          <cell r="L313">
            <v>125.1</v>
          </cell>
          <cell r="N313">
            <v>89.36</v>
          </cell>
        </row>
        <row r="314">
          <cell r="C314">
            <v>194</v>
          </cell>
          <cell r="D314">
            <v>321.89</v>
          </cell>
          <cell r="F314">
            <v>229.92</v>
          </cell>
          <cell r="H314">
            <v>262.24</v>
          </cell>
          <cell r="J314">
            <v>367.14</v>
          </cell>
          <cell r="L314">
            <v>125.74</v>
          </cell>
          <cell r="N314">
            <v>89.81</v>
          </cell>
        </row>
        <row r="315">
          <cell r="C315">
            <v>195</v>
          </cell>
          <cell r="D315">
            <v>323.52999999999997</v>
          </cell>
          <cell r="F315">
            <v>231.09</v>
          </cell>
          <cell r="H315">
            <v>263.58999999999997</v>
          </cell>
          <cell r="J315">
            <v>369.03</v>
          </cell>
          <cell r="L315">
            <v>126.38</v>
          </cell>
          <cell r="N315">
            <v>90.27</v>
          </cell>
        </row>
        <row r="316">
          <cell r="C316">
            <v>196</v>
          </cell>
          <cell r="D316">
            <v>325.18</v>
          </cell>
          <cell r="F316">
            <v>232.27</v>
          </cell>
          <cell r="H316">
            <v>264.94</v>
          </cell>
          <cell r="J316">
            <v>370.92</v>
          </cell>
          <cell r="L316">
            <v>127.01</v>
          </cell>
          <cell r="N316">
            <v>90.72</v>
          </cell>
        </row>
        <row r="317">
          <cell r="C317">
            <v>197</v>
          </cell>
          <cell r="D317">
            <v>326.82</v>
          </cell>
          <cell r="F317">
            <v>233.44</v>
          </cell>
          <cell r="H317">
            <v>266.27999999999997</v>
          </cell>
          <cell r="J317">
            <v>372.79</v>
          </cell>
          <cell r="L317">
            <v>127.65</v>
          </cell>
          <cell r="N317">
            <v>91.18</v>
          </cell>
        </row>
        <row r="318">
          <cell r="C318">
            <v>198</v>
          </cell>
          <cell r="D318">
            <v>328.47</v>
          </cell>
          <cell r="F318">
            <v>234.62</v>
          </cell>
          <cell r="H318">
            <v>267.63</v>
          </cell>
          <cell r="J318">
            <v>374.68</v>
          </cell>
          <cell r="L318">
            <v>128.29</v>
          </cell>
          <cell r="N318">
            <v>91.64</v>
          </cell>
        </row>
        <row r="319">
          <cell r="C319">
            <v>199</v>
          </cell>
          <cell r="D319">
            <v>330.12</v>
          </cell>
          <cell r="F319">
            <v>235.8</v>
          </cell>
          <cell r="H319">
            <v>268.98</v>
          </cell>
          <cell r="J319">
            <v>376.57</v>
          </cell>
          <cell r="L319">
            <v>128.91999999999999</v>
          </cell>
          <cell r="N319">
            <v>92.09</v>
          </cell>
        </row>
        <row r="320">
          <cell r="C320">
            <v>200</v>
          </cell>
          <cell r="D320">
            <v>331.76</v>
          </cell>
          <cell r="F320">
            <v>236.97</v>
          </cell>
          <cell r="H320">
            <v>270.33</v>
          </cell>
          <cell r="J320">
            <v>378.46</v>
          </cell>
          <cell r="L320">
            <v>129.56</v>
          </cell>
          <cell r="N320">
            <v>92.54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Inform"/>
      <sheetName val="INPUT"/>
      <sheetName val="สารบัญ"/>
      <sheetName val="กั้นหน้า"/>
      <sheetName val="ปร5_FLY"/>
      <sheetName val="ปร4_FLY"/>
      <sheetName val="หา FACTORF_FLY"/>
      <sheetName val="unitcost_Fly"/>
      <sheetName val="unitcostรวม"/>
      <sheetName val="กราฟทำงาน_FLY"/>
      <sheetName val="Worktime_FLY"/>
      <sheetName val="ปร5Uturn"/>
      <sheetName val="ปร4Uturn"/>
      <sheetName val="หา FACTORF_UT"/>
      <sheetName val="unitcost_Uturn"/>
      <sheetName val="กราฟทำงาน_Uturn"/>
      <sheetName val="Worktime_UTurn"/>
      <sheetName val="sorce"/>
      <sheetName val="สรุปOHCทาง"/>
      <sheetName val="สรุปOHCโครงสร้าง"/>
      <sheetName val="อัตราทำงาน"/>
      <sheetName val="Factor ดิน"/>
      <sheetName val="ค่าขนส่ง"/>
      <sheetName val="ตารางขนส่ง1"/>
      <sheetName val="ตารางFACTOR Fทาง"/>
      <sheetName val="ตารางFACTOR Fสะพาน"/>
      <sheetName val="ค่าเครื่องจักร"/>
      <sheetName val="สรุปค่าเครื่องจักร+อะไหล่สึกหรอ"/>
      <sheetName val="เริ่มต้น"/>
      <sheetName val="บทที่1"/>
      <sheetName val="DetailOHCโครงสร้าง"/>
      <sheetName val="ตารางขนส่ง"/>
      <sheetName val="วิธีคิดค่าขนส่ง"/>
      <sheetName val="Detailค่าเครื่องจักร"/>
      <sheetName val="บทที่3"/>
      <sheetName val="บทที่3(2)"/>
      <sheetName val="บทที่2(3)"/>
      <sheetName val="DetailOHCทาง"/>
      <sheetName val="จัดเครื่องจักรทาง"/>
      <sheetName val="อ้างอิง"/>
      <sheetName val="Bid3_2"/>
      <sheetName val="Bid3_1"/>
      <sheetName val="เปรียบเทียบราคาไฟฟ้า"/>
      <sheetName val="คำนำ"/>
      <sheetName val="หัวเรื่อง"/>
      <sheetName val="ปก"/>
      <sheetName val="เอกสารสัมพันธ์"/>
      <sheetName val="ขั้นตอ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121">
          <cell r="C121">
            <v>1</v>
          </cell>
          <cell r="D121">
            <v>4.5599999999999996</v>
          </cell>
          <cell r="F121">
            <v>3.26</v>
          </cell>
          <cell r="H121">
            <v>4.25</v>
          </cell>
          <cell r="J121">
            <v>5.95</v>
          </cell>
          <cell r="L121">
            <v>3.07</v>
          </cell>
          <cell r="N121">
            <v>2.19</v>
          </cell>
        </row>
        <row r="122">
          <cell r="C122">
            <v>2</v>
          </cell>
          <cell r="D122">
            <v>6.51</v>
          </cell>
          <cell r="F122">
            <v>4.6500000000000004</v>
          </cell>
          <cell r="H122">
            <v>5.24</v>
          </cell>
          <cell r="J122">
            <v>7.34</v>
          </cell>
          <cell r="L122">
            <v>3.82</v>
          </cell>
          <cell r="N122">
            <v>2.73</v>
          </cell>
        </row>
        <row r="123">
          <cell r="C123">
            <v>3</v>
          </cell>
          <cell r="D123">
            <v>7.55</v>
          </cell>
          <cell r="F123">
            <v>5.39</v>
          </cell>
          <cell r="H123">
            <v>6.24</v>
          </cell>
          <cell r="J123">
            <v>8.74</v>
          </cell>
          <cell r="L123">
            <v>4.22</v>
          </cell>
          <cell r="N123">
            <v>3.01</v>
          </cell>
        </row>
        <row r="124">
          <cell r="C124">
            <v>4</v>
          </cell>
          <cell r="D124">
            <v>9.1999999999999993</v>
          </cell>
          <cell r="F124">
            <v>6.57</v>
          </cell>
          <cell r="H124">
            <v>7.23</v>
          </cell>
          <cell r="J124">
            <v>10.119999999999999</v>
          </cell>
          <cell r="L124">
            <v>4.8600000000000003</v>
          </cell>
          <cell r="N124">
            <v>3.47</v>
          </cell>
        </row>
        <row r="125">
          <cell r="C125">
            <v>5</v>
          </cell>
          <cell r="D125">
            <v>10.84</v>
          </cell>
          <cell r="F125">
            <v>7.74</v>
          </cell>
          <cell r="H125">
            <v>8.2200000000000006</v>
          </cell>
          <cell r="J125">
            <v>11.51</v>
          </cell>
          <cell r="L125">
            <v>5.49</v>
          </cell>
          <cell r="N125">
            <v>3.92</v>
          </cell>
        </row>
        <row r="126">
          <cell r="C126">
            <v>6</v>
          </cell>
          <cell r="D126">
            <v>12.49</v>
          </cell>
          <cell r="F126">
            <v>8.92</v>
          </cell>
          <cell r="H126">
            <v>9.2200000000000006</v>
          </cell>
          <cell r="J126">
            <v>12.91</v>
          </cell>
          <cell r="L126">
            <v>6.13</v>
          </cell>
          <cell r="N126">
            <v>4.38</v>
          </cell>
        </row>
        <row r="127">
          <cell r="C127">
            <v>7</v>
          </cell>
          <cell r="D127">
            <v>14.13</v>
          </cell>
          <cell r="F127">
            <v>10.09</v>
          </cell>
          <cell r="H127">
            <v>10.210000000000001</v>
          </cell>
          <cell r="J127">
            <v>14.29</v>
          </cell>
          <cell r="L127">
            <v>6.77</v>
          </cell>
          <cell r="N127">
            <v>4.84</v>
          </cell>
        </row>
        <row r="128">
          <cell r="C128">
            <v>8</v>
          </cell>
          <cell r="D128">
            <v>15.78</v>
          </cell>
          <cell r="F128">
            <v>11.27</v>
          </cell>
          <cell r="H128">
            <v>11.44</v>
          </cell>
          <cell r="J128">
            <v>16.02</v>
          </cell>
          <cell r="L128">
            <v>7.4</v>
          </cell>
          <cell r="N128">
            <v>5.29</v>
          </cell>
        </row>
        <row r="129">
          <cell r="C129">
            <v>9</v>
          </cell>
          <cell r="D129">
            <v>17.43</v>
          </cell>
          <cell r="F129">
            <v>12.45</v>
          </cell>
          <cell r="H129">
            <v>12.79</v>
          </cell>
          <cell r="J129">
            <v>17.91</v>
          </cell>
          <cell r="L129">
            <v>8.0399999999999991</v>
          </cell>
          <cell r="N129">
            <v>5.74</v>
          </cell>
        </row>
        <row r="130">
          <cell r="C130">
            <v>10</v>
          </cell>
          <cell r="D130">
            <v>19.07</v>
          </cell>
          <cell r="F130">
            <v>13.62</v>
          </cell>
          <cell r="H130">
            <v>14.14</v>
          </cell>
          <cell r="J130">
            <v>19.8</v>
          </cell>
          <cell r="L130">
            <v>8.67</v>
          </cell>
          <cell r="N130">
            <v>6.19</v>
          </cell>
        </row>
        <row r="131">
          <cell r="C131">
            <v>11</v>
          </cell>
          <cell r="D131">
            <v>20.72</v>
          </cell>
          <cell r="F131">
            <v>14.8</v>
          </cell>
          <cell r="H131">
            <v>15.48</v>
          </cell>
          <cell r="J131">
            <v>21.67</v>
          </cell>
          <cell r="L131">
            <v>9.31</v>
          </cell>
          <cell r="N131">
            <v>6.65</v>
          </cell>
        </row>
        <row r="132">
          <cell r="C132">
            <v>12</v>
          </cell>
          <cell r="D132">
            <v>22.36</v>
          </cell>
          <cell r="F132">
            <v>15.97</v>
          </cell>
          <cell r="H132">
            <v>16.829999999999998</v>
          </cell>
          <cell r="J132">
            <v>23.56</v>
          </cell>
          <cell r="L132">
            <v>9.9499999999999993</v>
          </cell>
          <cell r="N132">
            <v>7.11</v>
          </cell>
        </row>
        <row r="133">
          <cell r="C133">
            <v>13</v>
          </cell>
          <cell r="D133">
            <v>24.01</v>
          </cell>
          <cell r="F133">
            <v>17.149999999999999</v>
          </cell>
          <cell r="H133">
            <v>18.18</v>
          </cell>
          <cell r="J133">
            <v>25.45</v>
          </cell>
          <cell r="L133">
            <v>10.58</v>
          </cell>
          <cell r="N133">
            <v>7.56</v>
          </cell>
        </row>
        <row r="134">
          <cell r="C134">
            <v>14</v>
          </cell>
          <cell r="D134">
            <v>25.65</v>
          </cell>
          <cell r="F134">
            <v>18.32</v>
          </cell>
          <cell r="H134">
            <v>19.53</v>
          </cell>
          <cell r="J134">
            <v>27.34</v>
          </cell>
          <cell r="L134">
            <v>11.22</v>
          </cell>
          <cell r="N134">
            <v>8.01</v>
          </cell>
        </row>
        <row r="135">
          <cell r="C135">
            <v>15</v>
          </cell>
          <cell r="D135">
            <v>27.3</v>
          </cell>
          <cell r="F135">
            <v>19.5</v>
          </cell>
          <cell r="H135">
            <v>20.88</v>
          </cell>
          <cell r="J135">
            <v>29.23</v>
          </cell>
          <cell r="L135">
            <v>11.86</v>
          </cell>
          <cell r="N135">
            <v>8.4700000000000006</v>
          </cell>
        </row>
        <row r="136">
          <cell r="C136">
            <v>16</v>
          </cell>
          <cell r="D136">
            <v>28.95</v>
          </cell>
          <cell r="F136">
            <v>20.68</v>
          </cell>
          <cell r="H136">
            <v>22.23</v>
          </cell>
          <cell r="J136">
            <v>31.12</v>
          </cell>
          <cell r="L136">
            <v>12.49</v>
          </cell>
          <cell r="N136">
            <v>8.92</v>
          </cell>
        </row>
        <row r="137">
          <cell r="C137">
            <v>17</v>
          </cell>
          <cell r="D137">
            <v>30.59</v>
          </cell>
          <cell r="F137">
            <v>21.85</v>
          </cell>
          <cell r="H137">
            <v>23.57</v>
          </cell>
          <cell r="J137">
            <v>33</v>
          </cell>
          <cell r="L137">
            <v>13.13</v>
          </cell>
          <cell r="N137">
            <v>9.3800000000000008</v>
          </cell>
        </row>
        <row r="138">
          <cell r="C138">
            <v>18</v>
          </cell>
          <cell r="D138">
            <v>32.24</v>
          </cell>
          <cell r="F138">
            <v>23.03</v>
          </cell>
          <cell r="H138">
            <v>24.92</v>
          </cell>
          <cell r="J138">
            <v>34.89</v>
          </cell>
          <cell r="L138">
            <v>13.76</v>
          </cell>
          <cell r="N138">
            <v>9.83</v>
          </cell>
        </row>
        <row r="139">
          <cell r="C139">
            <v>19</v>
          </cell>
          <cell r="D139">
            <v>33.880000000000003</v>
          </cell>
          <cell r="F139">
            <v>24.2</v>
          </cell>
          <cell r="H139">
            <v>26.27</v>
          </cell>
          <cell r="J139">
            <v>36.78</v>
          </cell>
          <cell r="L139">
            <v>14.4</v>
          </cell>
          <cell r="N139">
            <v>10.29</v>
          </cell>
        </row>
        <row r="140">
          <cell r="C140">
            <v>20</v>
          </cell>
          <cell r="D140">
            <v>35.53</v>
          </cell>
          <cell r="F140">
            <v>25.38</v>
          </cell>
          <cell r="H140">
            <v>27.62</v>
          </cell>
          <cell r="J140">
            <v>38.67</v>
          </cell>
          <cell r="L140">
            <v>15.04</v>
          </cell>
          <cell r="N140">
            <v>10.74</v>
          </cell>
        </row>
        <row r="141">
          <cell r="C141">
            <v>21</v>
          </cell>
          <cell r="D141">
            <v>37.17</v>
          </cell>
          <cell r="F141">
            <v>26.55</v>
          </cell>
          <cell r="H141">
            <v>28.97</v>
          </cell>
          <cell r="J141">
            <v>40.56</v>
          </cell>
          <cell r="L141">
            <v>15.67</v>
          </cell>
          <cell r="N141">
            <v>11.19</v>
          </cell>
        </row>
        <row r="142">
          <cell r="C142">
            <v>22</v>
          </cell>
          <cell r="D142">
            <v>38.82</v>
          </cell>
          <cell r="F142">
            <v>27.73</v>
          </cell>
          <cell r="H142">
            <v>30.32</v>
          </cell>
          <cell r="J142">
            <v>42.45</v>
          </cell>
          <cell r="L142">
            <v>16.309999999999999</v>
          </cell>
          <cell r="N142">
            <v>11.65</v>
          </cell>
        </row>
        <row r="143">
          <cell r="C143">
            <v>23</v>
          </cell>
          <cell r="D143">
            <v>40.47</v>
          </cell>
          <cell r="F143">
            <v>28.91</v>
          </cell>
          <cell r="H143">
            <v>31.66</v>
          </cell>
          <cell r="J143">
            <v>44.32</v>
          </cell>
          <cell r="L143">
            <v>16.95</v>
          </cell>
          <cell r="N143">
            <v>12.11</v>
          </cell>
        </row>
        <row r="144">
          <cell r="C144">
            <v>24</v>
          </cell>
          <cell r="D144">
            <v>42.11</v>
          </cell>
          <cell r="F144">
            <v>30.08</v>
          </cell>
          <cell r="H144">
            <v>33.01</v>
          </cell>
          <cell r="J144">
            <v>46.21</v>
          </cell>
          <cell r="L144">
            <v>17.579999999999998</v>
          </cell>
          <cell r="N144">
            <v>12.56</v>
          </cell>
        </row>
        <row r="145">
          <cell r="C145">
            <v>25</v>
          </cell>
          <cell r="D145">
            <v>43.76</v>
          </cell>
          <cell r="F145">
            <v>31.26</v>
          </cell>
          <cell r="H145">
            <v>34.36</v>
          </cell>
          <cell r="J145">
            <v>48.1</v>
          </cell>
          <cell r="L145">
            <v>18.22</v>
          </cell>
          <cell r="N145">
            <v>13.01</v>
          </cell>
        </row>
        <row r="146">
          <cell r="C146">
            <v>26</v>
          </cell>
          <cell r="D146">
            <v>45.4</v>
          </cell>
          <cell r="F146">
            <v>32.43</v>
          </cell>
          <cell r="H146">
            <v>35.71</v>
          </cell>
          <cell r="J146">
            <v>49.99</v>
          </cell>
          <cell r="L146">
            <v>18.850000000000001</v>
          </cell>
          <cell r="N146">
            <v>13.46</v>
          </cell>
        </row>
        <row r="147">
          <cell r="C147">
            <v>27</v>
          </cell>
          <cell r="D147">
            <v>47.05</v>
          </cell>
          <cell r="F147">
            <v>33.61</v>
          </cell>
          <cell r="H147">
            <v>37.06</v>
          </cell>
          <cell r="J147">
            <v>51.88</v>
          </cell>
          <cell r="L147">
            <v>19.489999999999998</v>
          </cell>
          <cell r="N147">
            <v>13.92</v>
          </cell>
        </row>
        <row r="148">
          <cell r="C148">
            <v>28</v>
          </cell>
          <cell r="D148">
            <v>48.69</v>
          </cell>
          <cell r="F148">
            <v>34.78</v>
          </cell>
          <cell r="H148">
            <v>38.409999999999997</v>
          </cell>
          <cell r="J148">
            <v>53.77</v>
          </cell>
          <cell r="L148">
            <v>20.13</v>
          </cell>
          <cell r="N148">
            <v>14.38</v>
          </cell>
        </row>
        <row r="149">
          <cell r="C149">
            <v>29</v>
          </cell>
          <cell r="D149">
            <v>50.34</v>
          </cell>
          <cell r="F149">
            <v>35.96</v>
          </cell>
          <cell r="H149">
            <v>39.76</v>
          </cell>
          <cell r="J149">
            <v>55.66</v>
          </cell>
          <cell r="L149">
            <v>20.76</v>
          </cell>
          <cell r="N149">
            <v>14.83</v>
          </cell>
        </row>
        <row r="150">
          <cell r="C150">
            <v>30</v>
          </cell>
          <cell r="D150">
            <v>51.99</v>
          </cell>
          <cell r="F150">
            <v>37.14</v>
          </cell>
          <cell r="H150">
            <v>41.1</v>
          </cell>
          <cell r="J150">
            <v>57.54</v>
          </cell>
          <cell r="L150">
            <v>21.4</v>
          </cell>
          <cell r="N150">
            <v>15.29</v>
          </cell>
        </row>
        <row r="151">
          <cell r="C151">
            <v>31</v>
          </cell>
          <cell r="D151">
            <v>53.63</v>
          </cell>
          <cell r="F151">
            <v>38.31</v>
          </cell>
          <cell r="H151">
            <v>42.45</v>
          </cell>
          <cell r="J151">
            <v>59.43</v>
          </cell>
          <cell r="L151">
            <v>22.04</v>
          </cell>
          <cell r="N151">
            <v>15.74</v>
          </cell>
        </row>
        <row r="152">
          <cell r="C152">
            <v>32</v>
          </cell>
          <cell r="D152">
            <v>55.28</v>
          </cell>
          <cell r="F152">
            <v>39.49</v>
          </cell>
          <cell r="H152">
            <v>43.8</v>
          </cell>
          <cell r="J152">
            <v>61.32</v>
          </cell>
          <cell r="L152">
            <v>22.67</v>
          </cell>
          <cell r="N152">
            <v>16.190000000000001</v>
          </cell>
        </row>
        <row r="153">
          <cell r="C153">
            <v>33</v>
          </cell>
          <cell r="D153">
            <v>56.92</v>
          </cell>
          <cell r="F153">
            <v>40.659999999999997</v>
          </cell>
          <cell r="H153">
            <v>45.15</v>
          </cell>
          <cell r="J153">
            <v>63.21</v>
          </cell>
          <cell r="L153">
            <v>23.31</v>
          </cell>
          <cell r="N153">
            <v>16.649999999999999</v>
          </cell>
        </row>
        <row r="154">
          <cell r="C154">
            <v>34</v>
          </cell>
          <cell r="D154">
            <v>58.57</v>
          </cell>
          <cell r="F154">
            <v>41.84</v>
          </cell>
          <cell r="H154">
            <v>46.5</v>
          </cell>
          <cell r="J154">
            <v>65.099999999999994</v>
          </cell>
          <cell r="L154">
            <v>23.94</v>
          </cell>
          <cell r="N154">
            <v>17.100000000000001</v>
          </cell>
        </row>
        <row r="155">
          <cell r="C155">
            <v>35</v>
          </cell>
          <cell r="D155">
            <v>60.21</v>
          </cell>
          <cell r="F155">
            <v>43.01</v>
          </cell>
          <cell r="H155">
            <v>47.85</v>
          </cell>
          <cell r="J155">
            <v>66.989999999999995</v>
          </cell>
          <cell r="L155">
            <v>24.58</v>
          </cell>
          <cell r="N155">
            <v>17.559999999999999</v>
          </cell>
        </row>
        <row r="156">
          <cell r="C156">
            <v>36</v>
          </cell>
          <cell r="D156">
            <v>61.86</v>
          </cell>
          <cell r="F156">
            <v>44.19</v>
          </cell>
          <cell r="H156">
            <v>49.19</v>
          </cell>
          <cell r="J156">
            <v>68.87</v>
          </cell>
          <cell r="L156">
            <v>25.22</v>
          </cell>
          <cell r="N156">
            <v>18.010000000000002</v>
          </cell>
        </row>
        <row r="157">
          <cell r="C157">
            <v>37</v>
          </cell>
          <cell r="D157">
            <v>63.51</v>
          </cell>
          <cell r="F157">
            <v>45.36</v>
          </cell>
          <cell r="H157">
            <v>50.54</v>
          </cell>
          <cell r="J157">
            <v>70.760000000000005</v>
          </cell>
          <cell r="L157">
            <v>25.85</v>
          </cell>
          <cell r="N157">
            <v>18.46</v>
          </cell>
        </row>
        <row r="158">
          <cell r="C158">
            <v>38</v>
          </cell>
          <cell r="D158">
            <v>65.150000000000006</v>
          </cell>
          <cell r="F158">
            <v>46.54</v>
          </cell>
          <cell r="H158">
            <v>51.89</v>
          </cell>
          <cell r="J158">
            <v>72.650000000000006</v>
          </cell>
          <cell r="L158">
            <v>26.49</v>
          </cell>
          <cell r="N158">
            <v>18.920000000000002</v>
          </cell>
        </row>
        <row r="159">
          <cell r="C159">
            <v>39</v>
          </cell>
          <cell r="D159">
            <v>66.8</v>
          </cell>
          <cell r="F159">
            <v>47.71</v>
          </cell>
          <cell r="H159">
            <v>53.24</v>
          </cell>
          <cell r="J159">
            <v>74.540000000000006</v>
          </cell>
          <cell r="L159">
            <v>27.13</v>
          </cell>
          <cell r="N159">
            <v>19.38</v>
          </cell>
        </row>
        <row r="160">
          <cell r="C160">
            <v>40</v>
          </cell>
          <cell r="D160">
            <v>68.44</v>
          </cell>
          <cell r="F160">
            <v>48.89</v>
          </cell>
          <cell r="H160">
            <v>54.59</v>
          </cell>
          <cell r="J160">
            <v>76.430000000000007</v>
          </cell>
          <cell r="L160">
            <v>27.76</v>
          </cell>
          <cell r="N160">
            <v>19.829999999999998</v>
          </cell>
        </row>
        <row r="161">
          <cell r="C161">
            <v>41</v>
          </cell>
          <cell r="D161">
            <v>70.09</v>
          </cell>
          <cell r="F161">
            <v>50.06</v>
          </cell>
          <cell r="H161">
            <v>55.94</v>
          </cell>
          <cell r="J161">
            <v>78.319999999999993</v>
          </cell>
          <cell r="L161">
            <v>28.4</v>
          </cell>
          <cell r="N161">
            <v>20.29</v>
          </cell>
        </row>
        <row r="162">
          <cell r="C162">
            <v>42</v>
          </cell>
          <cell r="D162">
            <v>71.739999999999995</v>
          </cell>
          <cell r="F162">
            <v>51.24</v>
          </cell>
          <cell r="H162">
            <v>57.28</v>
          </cell>
          <cell r="J162">
            <v>80.19</v>
          </cell>
          <cell r="L162">
            <v>29.03</v>
          </cell>
          <cell r="N162">
            <v>20.74</v>
          </cell>
        </row>
        <row r="163">
          <cell r="C163">
            <v>43</v>
          </cell>
          <cell r="D163">
            <v>73.38</v>
          </cell>
          <cell r="F163">
            <v>52.41</v>
          </cell>
          <cell r="H163">
            <v>58.63</v>
          </cell>
          <cell r="J163">
            <v>82.08</v>
          </cell>
          <cell r="L163">
            <v>29.67</v>
          </cell>
          <cell r="N163">
            <v>21.19</v>
          </cell>
        </row>
        <row r="164">
          <cell r="C164">
            <v>44</v>
          </cell>
          <cell r="D164">
            <v>75.03</v>
          </cell>
          <cell r="F164">
            <v>53.59</v>
          </cell>
          <cell r="H164">
            <v>59.98</v>
          </cell>
          <cell r="J164">
            <v>83.97</v>
          </cell>
          <cell r="L164">
            <v>30.31</v>
          </cell>
          <cell r="N164">
            <v>21.65</v>
          </cell>
        </row>
        <row r="165">
          <cell r="C165">
            <v>45</v>
          </cell>
          <cell r="D165">
            <v>76.67</v>
          </cell>
          <cell r="F165">
            <v>54.76</v>
          </cell>
          <cell r="H165">
            <v>61.33</v>
          </cell>
          <cell r="J165">
            <v>85.86</v>
          </cell>
          <cell r="L165">
            <v>30.94</v>
          </cell>
          <cell r="N165">
            <v>22.1</v>
          </cell>
        </row>
        <row r="166">
          <cell r="C166">
            <v>46</v>
          </cell>
          <cell r="D166">
            <v>78.319999999999993</v>
          </cell>
          <cell r="F166">
            <v>55.94</v>
          </cell>
          <cell r="H166">
            <v>62.68</v>
          </cell>
          <cell r="J166">
            <v>87.75</v>
          </cell>
          <cell r="L166">
            <v>31.58</v>
          </cell>
          <cell r="N166">
            <v>22.56</v>
          </cell>
        </row>
        <row r="167">
          <cell r="C167">
            <v>47</v>
          </cell>
          <cell r="D167">
            <v>79.959999999999994</v>
          </cell>
          <cell r="F167">
            <v>57.11</v>
          </cell>
          <cell r="H167">
            <v>64.03</v>
          </cell>
          <cell r="J167">
            <v>89.64</v>
          </cell>
          <cell r="L167">
            <v>32.22</v>
          </cell>
          <cell r="N167">
            <v>23.01</v>
          </cell>
        </row>
        <row r="168">
          <cell r="C168">
            <v>48</v>
          </cell>
          <cell r="D168">
            <v>81.61</v>
          </cell>
          <cell r="F168">
            <v>58.29</v>
          </cell>
          <cell r="H168">
            <v>65.37</v>
          </cell>
          <cell r="J168">
            <v>91.52</v>
          </cell>
          <cell r="L168">
            <v>32.85</v>
          </cell>
          <cell r="N168">
            <v>23.46</v>
          </cell>
        </row>
        <row r="169">
          <cell r="C169">
            <v>49</v>
          </cell>
          <cell r="D169">
            <v>83.26</v>
          </cell>
          <cell r="F169">
            <v>59.47</v>
          </cell>
          <cell r="H169">
            <v>66.72</v>
          </cell>
          <cell r="J169">
            <v>93.41</v>
          </cell>
          <cell r="L169">
            <v>33.49</v>
          </cell>
          <cell r="N169">
            <v>23.92</v>
          </cell>
        </row>
        <row r="170">
          <cell r="C170">
            <v>50</v>
          </cell>
          <cell r="D170">
            <v>84.9</v>
          </cell>
          <cell r="F170">
            <v>60.64</v>
          </cell>
          <cell r="H170">
            <v>68.069999999999993</v>
          </cell>
          <cell r="J170">
            <v>95.3</v>
          </cell>
          <cell r="L170">
            <v>34.119999999999997</v>
          </cell>
          <cell r="N170">
            <v>24.37</v>
          </cell>
        </row>
        <row r="171">
          <cell r="C171">
            <v>51</v>
          </cell>
          <cell r="D171">
            <v>86.55</v>
          </cell>
          <cell r="F171">
            <v>61.82</v>
          </cell>
          <cell r="H171">
            <v>69.42</v>
          </cell>
          <cell r="J171">
            <v>97.19</v>
          </cell>
          <cell r="L171">
            <v>34.76</v>
          </cell>
          <cell r="N171">
            <v>24.83</v>
          </cell>
        </row>
        <row r="172">
          <cell r="C172">
            <v>52</v>
          </cell>
          <cell r="D172">
            <v>88.19</v>
          </cell>
          <cell r="F172">
            <v>62.99</v>
          </cell>
          <cell r="H172">
            <v>70.77</v>
          </cell>
          <cell r="J172">
            <v>99.08</v>
          </cell>
          <cell r="L172">
            <v>35.4</v>
          </cell>
          <cell r="N172">
            <v>25.29</v>
          </cell>
        </row>
        <row r="173">
          <cell r="C173">
            <v>53</v>
          </cell>
          <cell r="D173">
            <v>89.84</v>
          </cell>
          <cell r="F173">
            <v>64.17</v>
          </cell>
          <cell r="H173">
            <v>72.12</v>
          </cell>
          <cell r="J173">
            <v>100.97</v>
          </cell>
          <cell r="L173">
            <v>36.03</v>
          </cell>
          <cell r="N173">
            <v>25.74</v>
          </cell>
        </row>
        <row r="174">
          <cell r="C174">
            <v>54</v>
          </cell>
          <cell r="D174">
            <v>91.48</v>
          </cell>
          <cell r="F174">
            <v>65.34</v>
          </cell>
          <cell r="H174">
            <v>73.459999999999994</v>
          </cell>
          <cell r="J174">
            <v>102.84</v>
          </cell>
          <cell r="L174">
            <v>36.67</v>
          </cell>
          <cell r="N174">
            <v>26.19</v>
          </cell>
        </row>
        <row r="175">
          <cell r="C175">
            <v>55</v>
          </cell>
          <cell r="D175">
            <v>93.13</v>
          </cell>
          <cell r="F175">
            <v>66.52</v>
          </cell>
          <cell r="H175">
            <v>74.81</v>
          </cell>
          <cell r="J175">
            <v>104.73</v>
          </cell>
          <cell r="L175">
            <v>37.31</v>
          </cell>
          <cell r="N175">
            <v>26.65</v>
          </cell>
        </row>
        <row r="176">
          <cell r="C176">
            <v>56</v>
          </cell>
          <cell r="D176">
            <v>94.78</v>
          </cell>
          <cell r="F176">
            <v>67.7</v>
          </cell>
          <cell r="H176">
            <v>76.16</v>
          </cell>
          <cell r="J176">
            <v>106.62</v>
          </cell>
          <cell r="L176">
            <v>37.94</v>
          </cell>
          <cell r="N176">
            <v>27.1</v>
          </cell>
        </row>
        <row r="177">
          <cell r="C177">
            <v>57</v>
          </cell>
          <cell r="D177">
            <v>96.42</v>
          </cell>
          <cell r="F177">
            <v>68.87</v>
          </cell>
          <cell r="H177">
            <v>77.510000000000005</v>
          </cell>
          <cell r="J177">
            <v>108.51</v>
          </cell>
          <cell r="L177">
            <v>38.58</v>
          </cell>
          <cell r="N177">
            <v>27.56</v>
          </cell>
        </row>
        <row r="178">
          <cell r="C178">
            <v>58</v>
          </cell>
          <cell r="D178">
            <v>98.07</v>
          </cell>
          <cell r="F178">
            <v>70.05</v>
          </cell>
          <cell r="H178">
            <v>78.86</v>
          </cell>
          <cell r="J178">
            <v>110.4</v>
          </cell>
          <cell r="L178">
            <v>39.21</v>
          </cell>
          <cell r="N178">
            <v>28.01</v>
          </cell>
        </row>
        <row r="179">
          <cell r="C179">
            <v>59</v>
          </cell>
          <cell r="D179">
            <v>99.71</v>
          </cell>
          <cell r="F179">
            <v>71.22</v>
          </cell>
          <cell r="H179">
            <v>80.209999999999994</v>
          </cell>
          <cell r="J179">
            <v>112.29</v>
          </cell>
          <cell r="L179">
            <v>39.85</v>
          </cell>
          <cell r="N179">
            <v>28.46</v>
          </cell>
        </row>
        <row r="180">
          <cell r="C180">
            <v>60</v>
          </cell>
          <cell r="D180">
            <v>101.36</v>
          </cell>
          <cell r="F180">
            <v>72.400000000000006</v>
          </cell>
          <cell r="H180">
            <v>81.56</v>
          </cell>
          <cell r="J180">
            <v>114.18</v>
          </cell>
          <cell r="L180">
            <v>40.49</v>
          </cell>
          <cell r="N180">
            <v>28.92</v>
          </cell>
        </row>
        <row r="181">
          <cell r="C181">
            <v>61</v>
          </cell>
          <cell r="D181">
            <v>103</v>
          </cell>
          <cell r="F181">
            <v>73.569999999999993</v>
          </cell>
          <cell r="H181">
            <v>82.9</v>
          </cell>
          <cell r="J181">
            <v>116.06</v>
          </cell>
          <cell r="L181">
            <v>41.12</v>
          </cell>
          <cell r="N181">
            <v>29.37</v>
          </cell>
        </row>
        <row r="182">
          <cell r="C182">
            <v>62</v>
          </cell>
          <cell r="D182">
            <v>104.65</v>
          </cell>
          <cell r="F182">
            <v>74.75</v>
          </cell>
          <cell r="H182">
            <v>84.25</v>
          </cell>
          <cell r="J182">
            <v>117.95</v>
          </cell>
          <cell r="L182">
            <v>41.76</v>
          </cell>
          <cell r="N182">
            <v>29.83</v>
          </cell>
        </row>
        <row r="183">
          <cell r="C183">
            <v>63</v>
          </cell>
          <cell r="D183">
            <v>106.3</v>
          </cell>
          <cell r="F183">
            <v>75.930000000000007</v>
          </cell>
          <cell r="H183">
            <v>85.6</v>
          </cell>
          <cell r="J183">
            <v>119.84</v>
          </cell>
          <cell r="L183">
            <v>42.39</v>
          </cell>
          <cell r="N183">
            <v>30.28</v>
          </cell>
        </row>
        <row r="184">
          <cell r="C184">
            <v>64</v>
          </cell>
          <cell r="D184">
            <v>107.94</v>
          </cell>
          <cell r="F184">
            <v>77.099999999999994</v>
          </cell>
          <cell r="H184">
            <v>86.95</v>
          </cell>
          <cell r="J184">
            <v>121.73</v>
          </cell>
          <cell r="L184">
            <v>43.03</v>
          </cell>
          <cell r="N184">
            <v>30.74</v>
          </cell>
        </row>
        <row r="185">
          <cell r="C185">
            <v>65</v>
          </cell>
          <cell r="D185">
            <v>109.59</v>
          </cell>
          <cell r="F185">
            <v>78.28</v>
          </cell>
          <cell r="H185">
            <v>88.3</v>
          </cell>
          <cell r="J185">
            <v>123.62</v>
          </cell>
          <cell r="L185">
            <v>43.67</v>
          </cell>
          <cell r="N185">
            <v>31.19</v>
          </cell>
        </row>
        <row r="186">
          <cell r="C186">
            <v>66</v>
          </cell>
          <cell r="D186">
            <v>111.23</v>
          </cell>
          <cell r="F186">
            <v>79.45</v>
          </cell>
          <cell r="H186">
            <v>89.65</v>
          </cell>
          <cell r="J186">
            <v>125.51</v>
          </cell>
          <cell r="L186">
            <v>44.3</v>
          </cell>
          <cell r="N186">
            <v>31.64</v>
          </cell>
        </row>
        <row r="187">
          <cell r="C187">
            <v>67</v>
          </cell>
          <cell r="D187">
            <v>112.88</v>
          </cell>
          <cell r="F187">
            <v>80.63</v>
          </cell>
          <cell r="H187">
            <v>90.99</v>
          </cell>
          <cell r="J187">
            <v>127.39</v>
          </cell>
          <cell r="L187">
            <v>44.94</v>
          </cell>
          <cell r="N187">
            <v>32.1</v>
          </cell>
        </row>
        <row r="188">
          <cell r="C188">
            <v>68</v>
          </cell>
          <cell r="D188">
            <v>114.52</v>
          </cell>
          <cell r="F188">
            <v>81.8</v>
          </cell>
          <cell r="H188">
            <v>92.34</v>
          </cell>
          <cell r="J188">
            <v>129.28</v>
          </cell>
          <cell r="L188">
            <v>45.58</v>
          </cell>
          <cell r="N188">
            <v>32.56</v>
          </cell>
        </row>
        <row r="189">
          <cell r="C189">
            <v>69</v>
          </cell>
          <cell r="D189">
            <v>116.17</v>
          </cell>
          <cell r="F189">
            <v>82.98</v>
          </cell>
          <cell r="H189">
            <v>93.69</v>
          </cell>
          <cell r="J189">
            <v>131.16999999999999</v>
          </cell>
          <cell r="L189">
            <v>46.21</v>
          </cell>
          <cell r="N189">
            <v>33.01</v>
          </cell>
        </row>
        <row r="190">
          <cell r="C190">
            <v>70</v>
          </cell>
          <cell r="D190">
            <v>117.82</v>
          </cell>
          <cell r="F190">
            <v>84.16</v>
          </cell>
          <cell r="H190">
            <v>95.04</v>
          </cell>
          <cell r="J190">
            <v>133.06</v>
          </cell>
          <cell r="L190">
            <v>46.85</v>
          </cell>
          <cell r="N190">
            <v>33.46</v>
          </cell>
        </row>
        <row r="191">
          <cell r="C191">
            <v>71</v>
          </cell>
          <cell r="D191">
            <v>119.46</v>
          </cell>
          <cell r="F191">
            <v>85.33</v>
          </cell>
          <cell r="H191">
            <v>96.39</v>
          </cell>
          <cell r="J191">
            <v>134.94999999999999</v>
          </cell>
          <cell r="L191">
            <v>47.48</v>
          </cell>
          <cell r="N191">
            <v>33.909999999999997</v>
          </cell>
        </row>
        <row r="192">
          <cell r="C192">
            <v>72</v>
          </cell>
          <cell r="D192">
            <v>121.11</v>
          </cell>
          <cell r="F192">
            <v>86.51</v>
          </cell>
          <cell r="H192">
            <v>97.74</v>
          </cell>
          <cell r="J192">
            <v>136.84</v>
          </cell>
          <cell r="L192">
            <v>48.12</v>
          </cell>
          <cell r="N192">
            <v>34.369999999999997</v>
          </cell>
        </row>
        <row r="193">
          <cell r="C193">
            <v>73</v>
          </cell>
          <cell r="D193">
            <v>122.75</v>
          </cell>
          <cell r="F193">
            <v>87.68</v>
          </cell>
          <cell r="H193">
            <v>99.08</v>
          </cell>
          <cell r="J193">
            <v>138.71</v>
          </cell>
          <cell r="L193">
            <v>48.76</v>
          </cell>
          <cell r="N193">
            <v>34.83</v>
          </cell>
        </row>
        <row r="194">
          <cell r="C194">
            <v>74</v>
          </cell>
          <cell r="D194">
            <v>124.4</v>
          </cell>
          <cell r="F194">
            <v>88.86</v>
          </cell>
          <cell r="H194">
            <v>100.43</v>
          </cell>
          <cell r="J194">
            <v>140.6</v>
          </cell>
          <cell r="L194">
            <v>49.39</v>
          </cell>
          <cell r="N194">
            <v>35.28</v>
          </cell>
        </row>
        <row r="195">
          <cell r="C195">
            <v>75</v>
          </cell>
          <cell r="D195">
            <v>126.04</v>
          </cell>
          <cell r="F195">
            <v>90.03</v>
          </cell>
          <cell r="H195">
            <v>101.78</v>
          </cell>
          <cell r="J195">
            <v>142.49</v>
          </cell>
          <cell r="L195">
            <v>50.03</v>
          </cell>
          <cell r="N195">
            <v>35.74</v>
          </cell>
        </row>
        <row r="196">
          <cell r="C196">
            <v>76</v>
          </cell>
          <cell r="D196">
            <v>127.69</v>
          </cell>
          <cell r="F196">
            <v>91.21</v>
          </cell>
          <cell r="H196">
            <v>103.13</v>
          </cell>
          <cell r="J196">
            <v>144.38</v>
          </cell>
          <cell r="L196">
            <v>50.67</v>
          </cell>
          <cell r="N196">
            <v>36.19</v>
          </cell>
        </row>
        <row r="197">
          <cell r="C197">
            <v>77</v>
          </cell>
          <cell r="D197">
            <v>129.34</v>
          </cell>
          <cell r="F197">
            <v>92.39</v>
          </cell>
          <cell r="H197">
            <v>104.48</v>
          </cell>
          <cell r="J197">
            <v>146.27000000000001</v>
          </cell>
          <cell r="L197">
            <v>51.3</v>
          </cell>
          <cell r="N197">
            <v>36.64</v>
          </cell>
        </row>
        <row r="198">
          <cell r="C198">
            <v>78</v>
          </cell>
          <cell r="D198">
            <v>130.97999999999999</v>
          </cell>
          <cell r="F198">
            <v>93.56</v>
          </cell>
          <cell r="H198">
            <v>105.83</v>
          </cell>
          <cell r="J198">
            <v>148.16</v>
          </cell>
          <cell r="L198">
            <v>51.94</v>
          </cell>
          <cell r="N198">
            <v>37.1</v>
          </cell>
        </row>
        <row r="199">
          <cell r="C199">
            <v>79</v>
          </cell>
          <cell r="D199">
            <v>132.63</v>
          </cell>
          <cell r="F199">
            <v>94.74</v>
          </cell>
          <cell r="H199">
            <v>107.17</v>
          </cell>
          <cell r="J199">
            <v>150.04</v>
          </cell>
          <cell r="L199">
            <v>52.57</v>
          </cell>
          <cell r="N199">
            <v>37.549999999999997</v>
          </cell>
        </row>
        <row r="200">
          <cell r="C200">
            <v>80</v>
          </cell>
          <cell r="D200">
            <v>134.27000000000001</v>
          </cell>
          <cell r="F200">
            <v>95.91</v>
          </cell>
          <cell r="H200">
            <v>108.52</v>
          </cell>
          <cell r="J200">
            <v>151.93</v>
          </cell>
          <cell r="L200">
            <v>53.21</v>
          </cell>
          <cell r="N200">
            <v>38.01</v>
          </cell>
        </row>
        <row r="201">
          <cell r="C201">
            <v>81</v>
          </cell>
          <cell r="D201">
            <v>135.91999999999999</v>
          </cell>
          <cell r="F201">
            <v>97.09</v>
          </cell>
          <cell r="H201">
            <v>109.87</v>
          </cell>
          <cell r="J201">
            <v>153.82</v>
          </cell>
          <cell r="L201">
            <v>53.85</v>
          </cell>
          <cell r="N201">
            <v>38.46</v>
          </cell>
        </row>
        <row r="202">
          <cell r="C202">
            <v>82</v>
          </cell>
          <cell r="D202">
            <v>137.56</v>
          </cell>
          <cell r="F202">
            <v>98.26</v>
          </cell>
          <cell r="H202">
            <v>111.22</v>
          </cell>
          <cell r="J202">
            <v>155.71</v>
          </cell>
          <cell r="L202">
            <v>54.48</v>
          </cell>
          <cell r="N202">
            <v>38.909999999999997</v>
          </cell>
        </row>
        <row r="203">
          <cell r="C203">
            <v>83</v>
          </cell>
          <cell r="D203">
            <v>139.21</v>
          </cell>
          <cell r="F203">
            <v>99.44</v>
          </cell>
          <cell r="H203">
            <v>112.57</v>
          </cell>
          <cell r="J203">
            <v>157.6</v>
          </cell>
          <cell r="L203">
            <v>55.12</v>
          </cell>
          <cell r="N203">
            <v>39.369999999999997</v>
          </cell>
        </row>
        <row r="204">
          <cell r="C204">
            <v>84</v>
          </cell>
          <cell r="D204">
            <v>140.86000000000001</v>
          </cell>
          <cell r="F204">
            <v>100.61</v>
          </cell>
          <cell r="H204">
            <v>113.92</v>
          </cell>
          <cell r="J204">
            <v>159.49</v>
          </cell>
          <cell r="L204">
            <v>55.76</v>
          </cell>
          <cell r="N204">
            <v>39.83</v>
          </cell>
        </row>
        <row r="205">
          <cell r="C205">
            <v>85</v>
          </cell>
          <cell r="D205">
            <v>142.5</v>
          </cell>
          <cell r="F205">
            <v>101.79</v>
          </cell>
          <cell r="H205">
            <v>115.26</v>
          </cell>
          <cell r="J205">
            <v>161.36000000000001</v>
          </cell>
          <cell r="L205">
            <v>56.39</v>
          </cell>
          <cell r="N205">
            <v>40.28</v>
          </cell>
        </row>
        <row r="206">
          <cell r="C206">
            <v>86</v>
          </cell>
          <cell r="D206">
            <v>144.15</v>
          </cell>
          <cell r="F206">
            <v>102.96</v>
          </cell>
          <cell r="H206">
            <v>116.61</v>
          </cell>
          <cell r="J206">
            <v>163.25</v>
          </cell>
          <cell r="L206">
            <v>57.03</v>
          </cell>
          <cell r="N206">
            <v>40.74</v>
          </cell>
        </row>
        <row r="207">
          <cell r="C207">
            <v>87</v>
          </cell>
          <cell r="D207">
            <v>145.79</v>
          </cell>
          <cell r="F207">
            <v>104.14</v>
          </cell>
          <cell r="H207">
            <v>117.96</v>
          </cell>
          <cell r="J207">
            <v>165.14</v>
          </cell>
          <cell r="L207">
            <v>57.66</v>
          </cell>
          <cell r="N207">
            <v>41.19</v>
          </cell>
        </row>
        <row r="208">
          <cell r="C208">
            <v>88</v>
          </cell>
          <cell r="D208">
            <v>147.44</v>
          </cell>
          <cell r="F208">
            <v>105.31</v>
          </cell>
          <cell r="H208">
            <v>119.31</v>
          </cell>
          <cell r="J208">
            <v>167.03</v>
          </cell>
          <cell r="L208">
            <v>58.3</v>
          </cell>
          <cell r="N208">
            <v>41.64</v>
          </cell>
        </row>
        <row r="209">
          <cell r="C209">
            <v>89</v>
          </cell>
          <cell r="D209">
            <v>149.08000000000001</v>
          </cell>
          <cell r="F209">
            <v>106.49</v>
          </cell>
          <cell r="H209">
            <v>120.66</v>
          </cell>
          <cell r="J209">
            <v>168.92</v>
          </cell>
          <cell r="L209">
            <v>58.94</v>
          </cell>
          <cell r="N209">
            <v>42.1</v>
          </cell>
        </row>
        <row r="210">
          <cell r="C210">
            <v>90</v>
          </cell>
          <cell r="D210">
            <v>150.72999999999999</v>
          </cell>
          <cell r="F210">
            <v>107.66</v>
          </cell>
          <cell r="H210">
            <v>122.01</v>
          </cell>
          <cell r="J210">
            <v>170.81</v>
          </cell>
          <cell r="L210">
            <v>59.57</v>
          </cell>
          <cell r="N210">
            <v>42.55</v>
          </cell>
        </row>
        <row r="211">
          <cell r="C211">
            <v>91</v>
          </cell>
          <cell r="D211">
            <v>152.38</v>
          </cell>
          <cell r="F211">
            <v>108.84</v>
          </cell>
          <cell r="H211">
            <v>123.36</v>
          </cell>
          <cell r="J211">
            <v>172.7</v>
          </cell>
          <cell r="L211">
            <v>60.21</v>
          </cell>
          <cell r="N211">
            <v>43.01</v>
          </cell>
        </row>
        <row r="212">
          <cell r="C212">
            <v>92</v>
          </cell>
          <cell r="D212">
            <v>154.02000000000001</v>
          </cell>
          <cell r="F212">
            <v>110.01</v>
          </cell>
          <cell r="H212">
            <v>124.7</v>
          </cell>
          <cell r="J212">
            <v>174.58</v>
          </cell>
          <cell r="L212">
            <v>60.85</v>
          </cell>
          <cell r="N212">
            <v>43.46</v>
          </cell>
        </row>
        <row r="213">
          <cell r="C213">
            <v>93</v>
          </cell>
          <cell r="D213">
            <v>155.66999999999999</v>
          </cell>
          <cell r="F213">
            <v>111.19</v>
          </cell>
          <cell r="H213">
            <v>126.05</v>
          </cell>
          <cell r="J213">
            <v>176.47</v>
          </cell>
          <cell r="L213">
            <v>61.48</v>
          </cell>
          <cell r="N213">
            <v>43.91</v>
          </cell>
        </row>
        <row r="214">
          <cell r="C214">
            <v>94</v>
          </cell>
          <cell r="D214">
            <v>157.31</v>
          </cell>
          <cell r="F214">
            <v>112.36</v>
          </cell>
          <cell r="H214">
            <v>127.4</v>
          </cell>
          <cell r="J214">
            <v>178.36</v>
          </cell>
          <cell r="L214">
            <v>62.12</v>
          </cell>
          <cell r="N214">
            <v>44.37</v>
          </cell>
        </row>
        <row r="215">
          <cell r="C215">
            <v>95</v>
          </cell>
          <cell r="D215">
            <v>158.96</v>
          </cell>
          <cell r="F215">
            <v>113.54</v>
          </cell>
          <cell r="H215">
            <v>128.75</v>
          </cell>
          <cell r="J215">
            <v>180.25</v>
          </cell>
          <cell r="L215">
            <v>62.75</v>
          </cell>
          <cell r="N215">
            <v>44.82</v>
          </cell>
        </row>
        <row r="216">
          <cell r="C216">
            <v>96</v>
          </cell>
          <cell r="D216">
            <v>160.6</v>
          </cell>
          <cell r="F216">
            <v>114.71</v>
          </cell>
          <cell r="H216">
            <v>130.1</v>
          </cell>
          <cell r="J216">
            <v>182.14</v>
          </cell>
          <cell r="L216">
            <v>63.39</v>
          </cell>
          <cell r="N216">
            <v>45.28</v>
          </cell>
        </row>
        <row r="217">
          <cell r="C217">
            <v>97</v>
          </cell>
          <cell r="D217">
            <v>162.25</v>
          </cell>
          <cell r="F217">
            <v>115.89</v>
          </cell>
          <cell r="H217">
            <v>131.44999999999999</v>
          </cell>
          <cell r="J217">
            <v>184.03</v>
          </cell>
          <cell r="L217">
            <v>64.03</v>
          </cell>
          <cell r="N217">
            <v>45.74</v>
          </cell>
        </row>
        <row r="218">
          <cell r="C218">
            <v>98</v>
          </cell>
          <cell r="D218">
            <v>163.9</v>
          </cell>
          <cell r="F218">
            <v>117.07</v>
          </cell>
          <cell r="H218">
            <v>132.79</v>
          </cell>
          <cell r="J218">
            <v>185.91</v>
          </cell>
          <cell r="L218">
            <v>64.66</v>
          </cell>
          <cell r="N218">
            <v>46.19</v>
          </cell>
        </row>
        <row r="219">
          <cell r="C219">
            <v>99</v>
          </cell>
          <cell r="D219">
            <v>165.54</v>
          </cell>
          <cell r="F219">
            <v>118.24</v>
          </cell>
          <cell r="H219">
            <v>134.13999999999999</v>
          </cell>
          <cell r="J219">
            <v>187.8</v>
          </cell>
          <cell r="L219">
            <v>65.3</v>
          </cell>
          <cell r="N219">
            <v>46.64</v>
          </cell>
        </row>
        <row r="220">
          <cell r="C220">
            <v>100</v>
          </cell>
          <cell r="D220">
            <v>167.19</v>
          </cell>
          <cell r="F220">
            <v>119.42</v>
          </cell>
          <cell r="H220">
            <v>135.49</v>
          </cell>
          <cell r="J220">
            <v>189.69</v>
          </cell>
          <cell r="L220">
            <v>65.94</v>
          </cell>
          <cell r="N220">
            <v>47.1</v>
          </cell>
        </row>
        <row r="221">
          <cell r="C221">
            <v>101</v>
          </cell>
          <cell r="D221">
            <v>168.83</v>
          </cell>
          <cell r="F221">
            <v>120.59</v>
          </cell>
          <cell r="H221">
            <v>136.84</v>
          </cell>
          <cell r="J221">
            <v>191.58</v>
          </cell>
          <cell r="L221">
            <v>66.569999999999993</v>
          </cell>
          <cell r="N221">
            <v>47.55</v>
          </cell>
        </row>
        <row r="222">
          <cell r="C222">
            <v>102</v>
          </cell>
          <cell r="D222">
            <v>170.48</v>
          </cell>
          <cell r="F222">
            <v>121.77</v>
          </cell>
          <cell r="H222">
            <v>138.19</v>
          </cell>
          <cell r="J222">
            <v>193.47</v>
          </cell>
          <cell r="L222">
            <v>67.209999999999994</v>
          </cell>
          <cell r="N222">
            <v>48.01</v>
          </cell>
        </row>
        <row r="223">
          <cell r="C223">
            <v>103</v>
          </cell>
          <cell r="D223">
            <v>172.13</v>
          </cell>
          <cell r="F223">
            <v>122.95</v>
          </cell>
          <cell r="H223">
            <v>139.54</v>
          </cell>
          <cell r="J223">
            <v>195.36</v>
          </cell>
          <cell r="L223">
            <v>67.84</v>
          </cell>
          <cell r="N223">
            <v>48.46</v>
          </cell>
        </row>
        <row r="224">
          <cell r="C224">
            <v>104</v>
          </cell>
          <cell r="D224">
            <v>173.77</v>
          </cell>
          <cell r="F224">
            <v>124.12</v>
          </cell>
          <cell r="H224">
            <v>140.88</v>
          </cell>
          <cell r="J224">
            <v>197.23</v>
          </cell>
          <cell r="L224">
            <v>68.48</v>
          </cell>
          <cell r="N224">
            <v>48.91</v>
          </cell>
        </row>
        <row r="225">
          <cell r="C225">
            <v>105</v>
          </cell>
          <cell r="D225">
            <v>175.42</v>
          </cell>
          <cell r="F225">
            <v>125.3</v>
          </cell>
          <cell r="H225">
            <v>142.22999999999999</v>
          </cell>
          <cell r="J225">
            <v>199.12</v>
          </cell>
          <cell r="L225">
            <v>69.12</v>
          </cell>
          <cell r="N225">
            <v>49.37</v>
          </cell>
        </row>
        <row r="226">
          <cell r="C226">
            <v>106</v>
          </cell>
          <cell r="D226">
            <v>177.06</v>
          </cell>
          <cell r="F226">
            <v>126.47</v>
          </cell>
          <cell r="H226">
            <v>143.58000000000001</v>
          </cell>
          <cell r="J226">
            <v>201.01</v>
          </cell>
          <cell r="L226">
            <v>69.75</v>
          </cell>
          <cell r="N226">
            <v>49.82</v>
          </cell>
        </row>
        <row r="227">
          <cell r="C227">
            <v>107</v>
          </cell>
          <cell r="D227">
            <v>178.71</v>
          </cell>
          <cell r="F227">
            <v>127.65</v>
          </cell>
          <cell r="H227">
            <v>144.93</v>
          </cell>
          <cell r="J227">
            <v>202.9</v>
          </cell>
          <cell r="L227">
            <v>70.39</v>
          </cell>
          <cell r="N227">
            <v>50.28</v>
          </cell>
        </row>
        <row r="228">
          <cell r="C228">
            <v>108</v>
          </cell>
          <cell r="D228">
            <v>180.35</v>
          </cell>
          <cell r="F228">
            <v>128.82</v>
          </cell>
          <cell r="H228">
            <v>146.28</v>
          </cell>
          <cell r="J228">
            <v>204.79</v>
          </cell>
          <cell r="L228">
            <v>71.03</v>
          </cell>
          <cell r="N228">
            <v>50.74</v>
          </cell>
        </row>
        <row r="229">
          <cell r="C229">
            <v>109</v>
          </cell>
          <cell r="D229">
            <v>182</v>
          </cell>
          <cell r="F229">
            <v>130</v>
          </cell>
          <cell r="H229">
            <v>147.63</v>
          </cell>
          <cell r="J229">
            <v>206.68</v>
          </cell>
          <cell r="L229">
            <v>71.66</v>
          </cell>
          <cell r="N229">
            <v>51.19</v>
          </cell>
        </row>
        <row r="230">
          <cell r="C230">
            <v>110</v>
          </cell>
          <cell r="D230">
            <v>183.65</v>
          </cell>
          <cell r="F230">
            <v>131.18</v>
          </cell>
          <cell r="H230">
            <v>148.97</v>
          </cell>
          <cell r="J230">
            <v>208.56</v>
          </cell>
          <cell r="L230">
            <v>72.3</v>
          </cell>
          <cell r="N230">
            <v>51.64</v>
          </cell>
        </row>
        <row r="231">
          <cell r="C231">
            <v>111</v>
          </cell>
          <cell r="D231">
            <v>185.29</v>
          </cell>
          <cell r="F231">
            <v>132.35</v>
          </cell>
          <cell r="H231">
            <v>150.32</v>
          </cell>
          <cell r="J231">
            <v>210.45</v>
          </cell>
          <cell r="L231">
            <v>72.930000000000007</v>
          </cell>
          <cell r="N231">
            <v>52.09</v>
          </cell>
        </row>
        <row r="232">
          <cell r="C232">
            <v>112</v>
          </cell>
          <cell r="D232">
            <v>186.94</v>
          </cell>
          <cell r="F232">
            <v>133.53</v>
          </cell>
          <cell r="H232">
            <v>151.66999999999999</v>
          </cell>
          <cell r="J232">
            <v>212.34</v>
          </cell>
          <cell r="L232">
            <v>73.569999999999993</v>
          </cell>
          <cell r="N232">
            <v>52.55</v>
          </cell>
        </row>
        <row r="233">
          <cell r="C233">
            <v>113</v>
          </cell>
          <cell r="D233">
            <v>188.58</v>
          </cell>
          <cell r="F233">
            <v>134.69999999999999</v>
          </cell>
          <cell r="H233">
            <v>153.02000000000001</v>
          </cell>
          <cell r="J233">
            <v>214.23</v>
          </cell>
          <cell r="L233">
            <v>74.209999999999994</v>
          </cell>
          <cell r="N233">
            <v>53.01</v>
          </cell>
        </row>
        <row r="234">
          <cell r="C234">
            <v>114</v>
          </cell>
          <cell r="D234">
            <v>190.23</v>
          </cell>
          <cell r="F234">
            <v>135.88</v>
          </cell>
          <cell r="H234">
            <v>154.37</v>
          </cell>
          <cell r="J234">
            <v>216.12</v>
          </cell>
          <cell r="L234">
            <v>74.84</v>
          </cell>
          <cell r="N234">
            <v>53.46</v>
          </cell>
        </row>
        <row r="235">
          <cell r="C235">
            <v>115</v>
          </cell>
          <cell r="D235">
            <v>191.87</v>
          </cell>
          <cell r="F235">
            <v>137.05000000000001</v>
          </cell>
          <cell r="H235">
            <v>155.72</v>
          </cell>
          <cell r="J235">
            <v>218.01</v>
          </cell>
          <cell r="L235">
            <v>75.48</v>
          </cell>
          <cell r="N235">
            <v>53.91</v>
          </cell>
        </row>
        <row r="236">
          <cell r="C236">
            <v>116</v>
          </cell>
          <cell r="D236">
            <v>193.52</v>
          </cell>
          <cell r="F236">
            <v>138.22999999999999</v>
          </cell>
          <cell r="H236">
            <v>157.06</v>
          </cell>
          <cell r="J236">
            <v>219.88</v>
          </cell>
          <cell r="L236">
            <v>76.12</v>
          </cell>
          <cell r="N236">
            <v>54.37</v>
          </cell>
        </row>
        <row r="237">
          <cell r="C237">
            <v>117</v>
          </cell>
          <cell r="D237">
            <v>195.17</v>
          </cell>
          <cell r="F237">
            <v>139.41</v>
          </cell>
          <cell r="H237">
            <v>158.41</v>
          </cell>
          <cell r="J237">
            <v>221.77</v>
          </cell>
          <cell r="L237">
            <v>76.75</v>
          </cell>
          <cell r="N237">
            <v>54.82</v>
          </cell>
        </row>
        <row r="238">
          <cell r="C238">
            <v>118</v>
          </cell>
          <cell r="D238">
            <v>196.81</v>
          </cell>
          <cell r="F238">
            <v>140.58000000000001</v>
          </cell>
          <cell r="H238">
            <v>159.76</v>
          </cell>
          <cell r="J238">
            <v>223.66</v>
          </cell>
          <cell r="L238">
            <v>77.39</v>
          </cell>
          <cell r="N238">
            <v>55.28</v>
          </cell>
        </row>
        <row r="239">
          <cell r="C239">
            <v>119</v>
          </cell>
          <cell r="D239">
            <v>198.46</v>
          </cell>
          <cell r="F239">
            <v>141.76</v>
          </cell>
          <cell r="H239">
            <v>161.11000000000001</v>
          </cell>
          <cell r="J239">
            <v>225.55</v>
          </cell>
          <cell r="L239">
            <v>78.02</v>
          </cell>
          <cell r="N239">
            <v>55.73</v>
          </cell>
        </row>
        <row r="240">
          <cell r="C240">
            <v>120</v>
          </cell>
          <cell r="D240">
            <v>200.1</v>
          </cell>
          <cell r="F240">
            <v>142.93</v>
          </cell>
          <cell r="H240">
            <v>162.46</v>
          </cell>
          <cell r="J240">
            <v>227.44</v>
          </cell>
          <cell r="L240">
            <v>78.66</v>
          </cell>
          <cell r="N240">
            <v>56.19</v>
          </cell>
        </row>
        <row r="241">
          <cell r="C241">
            <v>121</v>
          </cell>
          <cell r="D241">
            <v>201.75</v>
          </cell>
          <cell r="F241">
            <v>144.11000000000001</v>
          </cell>
          <cell r="H241">
            <v>163.81</v>
          </cell>
          <cell r="J241">
            <v>229.33</v>
          </cell>
          <cell r="L241">
            <v>79.3</v>
          </cell>
          <cell r="N241">
            <v>56.64</v>
          </cell>
        </row>
        <row r="242">
          <cell r="C242">
            <v>122</v>
          </cell>
          <cell r="D242">
            <v>203.39</v>
          </cell>
          <cell r="F242">
            <v>145.28</v>
          </cell>
          <cell r="H242">
            <v>165.16</v>
          </cell>
          <cell r="J242">
            <v>231.22</v>
          </cell>
          <cell r="L242">
            <v>79.930000000000007</v>
          </cell>
          <cell r="N242">
            <v>57.09</v>
          </cell>
        </row>
        <row r="243">
          <cell r="C243">
            <v>123</v>
          </cell>
          <cell r="D243">
            <v>205.04</v>
          </cell>
          <cell r="F243">
            <v>146.46</v>
          </cell>
          <cell r="H243">
            <v>166.5</v>
          </cell>
          <cell r="J243">
            <v>233.1</v>
          </cell>
          <cell r="L243">
            <v>80.569999999999993</v>
          </cell>
          <cell r="N243">
            <v>57.55</v>
          </cell>
        </row>
        <row r="244">
          <cell r="C244">
            <v>124</v>
          </cell>
          <cell r="D244">
            <v>206.69</v>
          </cell>
          <cell r="F244">
            <v>147.63999999999999</v>
          </cell>
          <cell r="H244">
            <v>167.85</v>
          </cell>
          <cell r="J244">
            <v>234.99</v>
          </cell>
          <cell r="L244">
            <v>81.2</v>
          </cell>
          <cell r="N244">
            <v>58</v>
          </cell>
        </row>
        <row r="245">
          <cell r="C245">
            <v>125</v>
          </cell>
          <cell r="D245">
            <v>208.33</v>
          </cell>
          <cell r="F245">
            <v>148.81</v>
          </cell>
          <cell r="H245">
            <v>169.2</v>
          </cell>
          <cell r="J245">
            <v>236.88</v>
          </cell>
          <cell r="L245">
            <v>81.84</v>
          </cell>
          <cell r="N245">
            <v>58.46</v>
          </cell>
        </row>
        <row r="246">
          <cell r="C246">
            <v>126</v>
          </cell>
          <cell r="D246">
            <v>209.98</v>
          </cell>
          <cell r="F246">
            <v>149.99</v>
          </cell>
          <cell r="H246">
            <v>170.55</v>
          </cell>
          <cell r="J246">
            <v>238.77</v>
          </cell>
          <cell r="L246">
            <v>82.48</v>
          </cell>
          <cell r="N246">
            <v>58.91</v>
          </cell>
        </row>
        <row r="247">
          <cell r="C247">
            <v>127</v>
          </cell>
          <cell r="D247">
            <v>211.62</v>
          </cell>
          <cell r="F247">
            <v>151.16</v>
          </cell>
          <cell r="H247">
            <v>171.9</v>
          </cell>
          <cell r="J247">
            <v>240.66</v>
          </cell>
          <cell r="L247">
            <v>83.11</v>
          </cell>
          <cell r="N247">
            <v>59.36</v>
          </cell>
        </row>
        <row r="248">
          <cell r="C248">
            <v>128</v>
          </cell>
          <cell r="D248">
            <v>213.27</v>
          </cell>
          <cell r="F248">
            <v>152.34</v>
          </cell>
          <cell r="H248">
            <v>173.25</v>
          </cell>
          <cell r="J248">
            <v>242.55</v>
          </cell>
          <cell r="L248">
            <v>83.75</v>
          </cell>
          <cell r="N248">
            <v>59.82</v>
          </cell>
        </row>
        <row r="249">
          <cell r="C249">
            <v>129</v>
          </cell>
          <cell r="D249">
            <v>214.91</v>
          </cell>
          <cell r="F249">
            <v>153.51</v>
          </cell>
          <cell r="H249">
            <v>174.59</v>
          </cell>
          <cell r="J249">
            <v>244.43</v>
          </cell>
          <cell r="L249">
            <v>84.39</v>
          </cell>
          <cell r="N249">
            <v>60.28</v>
          </cell>
        </row>
        <row r="250">
          <cell r="C250">
            <v>130</v>
          </cell>
          <cell r="D250">
            <v>216.56</v>
          </cell>
          <cell r="F250">
            <v>154.69</v>
          </cell>
          <cell r="H250">
            <v>175.94</v>
          </cell>
          <cell r="J250">
            <v>246.32</v>
          </cell>
          <cell r="L250">
            <v>85.02</v>
          </cell>
          <cell r="N250">
            <v>60.73</v>
          </cell>
        </row>
        <row r="251">
          <cell r="C251">
            <v>131</v>
          </cell>
          <cell r="D251">
            <v>218.21</v>
          </cell>
          <cell r="F251">
            <v>155.86000000000001</v>
          </cell>
          <cell r="H251">
            <v>177.29</v>
          </cell>
          <cell r="J251">
            <v>248.21</v>
          </cell>
          <cell r="L251">
            <v>85.66</v>
          </cell>
          <cell r="N251">
            <v>61.19</v>
          </cell>
        </row>
        <row r="252">
          <cell r="C252">
            <v>132</v>
          </cell>
          <cell r="D252">
            <v>219.85</v>
          </cell>
          <cell r="F252">
            <v>157.04</v>
          </cell>
          <cell r="H252">
            <v>178.64</v>
          </cell>
          <cell r="J252">
            <v>250.1</v>
          </cell>
          <cell r="L252">
            <v>86.29</v>
          </cell>
          <cell r="N252">
            <v>61.64</v>
          </cell>
        </row>
        <row r="253">
          <cell r="C253">
            <v>133</v>
          </cell>
          <cell r="D253">
            <v>221.5</v>
          </cell>
          <cell r="F253">
            <v>158.21</v>
          </cell>
          <cell r="H253">
            <v>179.99</v>
          </cell>
          <cell r="J253">
            <v>251.99</v>
          </cell>
          <cell r="L253">
            <v>86.93</v>
          </cell>
          <cell r="N253">
            <v>62.09</v>
          </cell>
        </row>
        <row r="254">
          <cell r="C254">
            <v>134</v>
          </cell>
          <cell r="D254">
            <v>223.14</v>
          </cell>
          <cell r="F254">
            <v>159.38999999999999</v>
          </cell>
          <cell r="H254">
            <v>181.34</v>
          </cell>
          <cell r="J254">
            <v>253.88</v>
          </cell>
          <cell r="L254">
            <v>87.57</v>
          </cell>
          <cell r="N254">
            <v>62.55</v>
          </cell>
        </row>
        <row r="255">
          <cell r="C255">
            <v>135</v>
          </cell>
          <cell r="D255">
            <v>224.79</v>
          </cell>
          <cell r="F255">
            <v>160.56</v>
          </cell>
          <cell r="H255">
            <v>182.68</v>
          </cell>
          <cell r="J255">
            <v>255.75</v>
          </cell>
          <cell r="L255">
            <v>88.2</v>
          </cell>
          <cell r="N255">
            <v>63</v>
          </cell>
        </row>
        <row r="256">
          <cell r="C256">
            <v>136</v>
          </cell>
          <cell r="D256">
            <v>226.43</v>
          </cell>
          <cell r="F256">
            <v>161.74</v>
          </cell>
          <cell r="H256">
            <v>184.03</v>
          </cell>
          <cell r="J256">
            <v>257.64</v>
          </cell>
          <cell r="L256">
            <v>88.84</v>
          </cell>
          <cell r="N256">
            <v>63.46</v>
          </cell>
        </row>
        <row r="257">
          <cell r="C257">
            <v>137</v>
          </cell>
          <cell r="D257">
            <v>228.08</v>
          </cell>
          <cell r="F257">
            <v>162.91</v>
          </cell>
          <cell r="H257">
            <v>185.38</v>
          </cell>
          <cell r="J257">
            <v>259.52999999999997</v>
          </cell>
          <cell r="L257">
            <v>89.48</v>
          </cell>
          <cell r="N257">
            <v>63.91</v>
          </cell>
        </row>
        <row r="258">
          <cell r="C258">
            <v>138</v>
          </cell>
          <cell r="D258">
            <v>229.73</v>
          </cell>
          <cell r="F258">
            <v>164.09</v>
          </cell>
          <cell r="H258">
            <v>186.73</v>
          </cell>
          <cell r="J258">
            <v>261.42</v>
          </cell>
          <cell r="L258">
            <v>90.11</v>
          </cell>
          <cell r="N258">
            <v>64.36</v>
          </cell>
        </row>
        <row r="259">
          <cell r="C259">
            <v>139</v>
          </cell>
          <cell r="D259">
            <v>231.37</v>
          </cell>
          <cell r="F259">
            <v>165.26</v>
          </cell>
          <cell r="H259">
            <v>188.08</v>
          </cell>
          <cell r="J259">
            <v>263.31</v>
          </cell>
          <cell r="L259">
            <v>90.75</v>
          </cell>
          <cell r="N259">
            <v>64.819999999999993</v>
          </cell>
        </row>
        <row r="260">
          <cell r="C260">
            <v>140</v>
          </cell>
          <cell r="D260">
            <v>233.02</v>
          </cell>
          <cell r="F260">
            <v>166.44</v>
          </cell>
          <cell r="H260">
            <v>189.43</v>
          </cell>
          <cell r="J260">
            <v>265.2</v>
          </cell>
          <cell r="L260">
            <v>91.38</v>
          </cell>
          <cell r="N260">
            <v>65.27</v>
          </cell>
        </row>
        <row r="261">
          <cell r="C261">
            <v>141</v>
          </cell>
          <cell r="D261">
            <v>234.66</v>
          </cell>
          <cell r="F261">
            <v>167.61</v>
          </cell>
          <cell r="H261">
            <v>190.77</v>
          </cell>
          <cell r="J261">
            <v>267.08</v>
          </cell>
          <cell r="L261">
            <v>92.02</v>
          </cell>
          <cell r="N261">
            <v>65.73</v>
          </cell>
        </row>
        <row r="262">
          <cell r="C262">
            <v>142</v>
          </cell>
          <cell r="D262">
            <v>236.31</v>
          </cell>
          <cell r="F262">
            <v>168.79</v>
          </cell>
          <cell r="H262">
            <v>192.12</v>
          </cell>
          <cell r="J262">
            <v>268.97000000000003</v>
          </cell>
          <cell r="L262">
            <v>92.66</v>
          </cell>
          <cell r="N262">
            <v>66.19</v>
          </cell>
        </row>
        <row r="263">
          <cell r="C263">
            <v>143</v>
          </cell>
          <cell r="D263">
            <v>237.95</v>
          </cell>
          <cell r="F263">
            <v>169.96</v>
          </cell>
          <cell r="H263">
            <v>193.47</v>
          </cell>
          <cell r="J263">
            <v>270.86</v>
          </cell>
          <cell r="L263">
            <v>93.29</v>
          </cell>
          <cell r="N263">
            <v>66.64</v>
          </cell>
        </row>
        <row r="264">
          <cell r="C264">
            <v>144</v>
          </cell>
          <cell r="D264">
            <v>239.6</v>
          </cell>
          <cell r="F264">
            <v>171.14</v>
          </cell>
          <cell r="H264">
            <v>194.82</v>
          </cell>
          <cell r="J264">
            <v>272.75</v>
          </cell>
          <cell r="L264">
            <v>93.93</v>
          </cell>
          <cell r="N264">
            <v>67.09</v>
          </cell>
        </row>
        <row r="265">
          <cell r="C265">
            <v>145</v>
          </cell>
          <cell r="D265">
            <v>241.25</v>
          </cell>
          <cell r="F265">
            <v>172.32</v>
          </cell>
          <cell r="H265">
            <v>196.17</v>
          </cell>
          <cell r="J265">
            <v>274.64</v>
          </cell>
          <cell r="L265">
            <v>94.57</v>
          </cell>
          <cell r="N265">
            <v>67.55</v>
          </cell>
        </row>
        <row r="266">
          <cell r="C266">
            <v>146</v>
          </cell>
          <cell r="D266">
            <v>242.89</v>
          </cell>
          <cell r="F266">
            <v>173.49</v>
          </cell>
          <cell r="H266">
            <v>197.52</v>
          </cell>
          <cell r="J266">
            <v>276.52999999999997</v>
          </cell>
          <cell r="L266">
            <v>95.2</v>
          </cell>
          <cell r="N266">
            <v>68</v>
          </cell>
        </row>
        <row r="267">
          <cell r="C267">
            <v>147</v>
          </cell>
          <cell r="D267">
            <v>244.54</v>
          </cell>
          <cell r="F267">
            <v>174.67</v>
          </cell>
          <cell r="H267">
            <v>198.87</v>
          </cell>
          <cell r="J267">
            <v>278.42</v>
          </cell>
          <cell r="L267">
            <v>95.84</v>
          </cell>
          <cell r="N267">
            <v>68.459999999999994</v>
          </cell>
        </row>
        <row r="268">
          <cell r="C268">
            <v>148</v>
          </cell>
          <cell r="D268">
            <v>246.18</v>
          </cell>
          <cell r="F268">
            <v>175.84</v>
          </cell>
          <cell r="H268">
            <v>200.21</v>
          </cell>
          <cell r="J268">
            <v>280.29000000000002</v>
          </cell>
          <cell r="L268">
            <v>96.47</v>
          </cell>
          <cell r="N268">
            <v>68.91</v>
          </cell>
        </row>
        <row r="269">
          <cell r="C269">
            <v>149</v>
          </cell>
          <cell r="D269">
            <v>247.83</v>
          </cell>
          <cell r="F269">
            <v>177.02</v>
          </cell>
          <cell r="H269">
            <v>201.56</v>
          </cell>
          <cell r="J269">
            <v>282.18</v>
          </cell>
          <cell r="L269">
            <v>97.11</v>
          </cell>
          <cell r="N269">
            <v>69.36</v>
          </cell>
        </row>
        <row r="270">
          <cell r="C270">
            <v>150</v>
          </cell>
          <cell r="D270">
            <v>249.47</v>
          </cell>
          <cell r="F270">
            <v>178.19</v>
          </cell>
          <cell r="H270">
            <v>202.91</v>
          </cell>
          <cell r="J270">
            <v>284.07</v>
          </cell>
          <cell r="L270">
            <v>97.75</v>
          </cell>
          <cell r="N270">
            <v>69.819999999999993</v>
          </cell>
        </row>
        <row r="271">
          <cell r="C271">
            <v>151</v>
          </cell>
          <cell r="D271">
            <v>251.12</v>
          </cell>
          <cell r="F271">
            <v>179.37</v>
          </cell>
          <cell r="H271">
            <v>204.26</v>
          </cell>
          <cell r="J271">
            <v>285.95999999999998</v>
          </cell>
          <cell r="L271">
            <v>98.38</v>
          </cell>
          <cell r="N271">
            <v>70.27</v>
          </cell>
        </row>
        <row r="272">
          <cell r="C272">
            <v>152</v>
          </cell>
          <cell r="D272">
            <v>252.77</v>
          </cell>
          <cell r="F272">
            <v>180.55</v>
          </cell>
          <cell r="H272">
            <v>205.61</v>
          </cell>
          <cell r="J272">
            <v>287.85000000000002</v>
          </cell>
          <cell r="L272">
            <v>99.02</v>
          </cell>
          <cell r="N272">
            <v>70.73</v>
          </cell>
        </row>
        <row r="273">
          <cell r="C273">
            <v>153</v>
          </cell>
          <cell r="D273">
            <v>254.41</v>
          </cell>
          <cell r="F273">
            <v>181.72</v>
          </cell>
          <cell r="H273">
            <v>206.96</v>
          </cell>
          <cell r="J273">
            <v>289.74</v>
          </cell>
          <cell r="L273">
            <v>99.66</v>
          </cell>
          <cell r="N273">
            <v>71.19</v>
          </cell>
        </row>
        <row r="274">
          <cell r="C274">
            <v>154</v>
          </cell>
          <cell r="D274">
            <v>256.06</v>
          </cell>
          <cell r="F274">
            <v>182.9</v>
          </cell>
          <cell r="H274">
            <v>208.3</v>
          </cell>
          <cell r="J274">
            <v>291.62</v>
          </cell>
          <cell r="L274">
            <v>100.29</v>
          </cell>
          <cell r="N274">
            <v>71.64</v>
          </cell>
        </row>
        <row r="275">
          <cell r="C275">
            <v>155</v>
          </cell>
          <cell r="D275">
            <v>257.7</v>
          </cell>
          <cell r="F275">
            <v>184.07</v>
          </cell>
          <cell r="H275">
            <v>209.65</v>
          </cell>
          <cell r="J275">
            <v>293.51</v>
          </cell>
          <cell r="L275">
            <v>100.93</v>
          </cell>
          <cell r="N275">
            <v>72.09</v>
          </cell>
        </row>
        <row r="276">
          <cell r="C276">
            <v>156</v>
          </cell>
          <cell r="D276">
            <v>259.35000000000002</v>
          </cell>
          <cell r="F276">
            <v>185.25</v>
          </cell>
          <cell r="H276">
            <v>211</v>
          </cell>
          <cell r="J276">
            <v>295.39999999999998</v>
          </cell>
          <cell r="L276">
            <v>101.56</v>
          </cell>
          <cell r="N276">
            <v>72.540000000000006</v>
          </cell>
        </row>
        <row r="277">
          <cell r="C277">
            <v>157</v>
          </cell>
          <cell r="D277">
            <v>260.99</v>
          </cell>
          <cell r="F277">
            <v>186.42</v>
          </cell>
          <cell r="H277">
            <v>212.35</v>
          </cell>
          <cell r="J277">
            <v>297.29000000000002</v>
          </cell>
          <cell r="L277">
            <v>102.2</v>
          </cell>
          <cell r="N277">
            <v>73</v>
          </cell>
        </row>
        <row r="278">
          <cell r="C278">
            <v>158</v>
          </cell>
          <cell r="D278">
            <v>262.64</v>
          </cell>
          <cell r="F278">
            <v>187.6</v>
          </cell>
          <cell r="H278">
            <v>213.7</v>
          </cell>
          <cell r="J278">
            <v>299.18</v>
          </cell>
          <cell r="L278">
            <v>102.84</v>
          </cell>
          <cell r="N278">
            <v>73.459999999999994</v>
          </cell>
        </row>
        <row r="279">
          <cell r="C279">
            <v>159</v>
          </cell>
          <cell r="D279">
            <v>264.29000000000002</v>
          </cell>
          <cell r="F279">
            <v>188.78</v>
          </cell>
          <cell r="H279">
            <v>215.05</v>
          </cell>
          <cell r="J279">
            <v>301.07</v>
          </cell>
          <cell r="L279">
            <v>103.47</v>
          </cell>
          <cell r="N279">
            <v>73.91</v>
          </cell>
        </row>
        <row r="280">
          <cell r="C280">
            <v>160</v>
          </cell>
          <cell r="D280">
            <v>265.93</v>
          </cell>
          <cell r="F280">
            <v>189.95</v>
          </cell>
          <cell r="H280">
            <v>216.39</v>
          </cell>
          <cell r="J280">
            <v>302.95</v>
          </cell>
          <cell r="L280">
            <v>104.11</v>
          </cell>
          <cell r="N280">
            <v>74.36</v>
          </cell>
        </row>
        <row r="281">
          <cell r="C281">
            <v>161</v>
          </cell>
          <cell r="D281">
            <v>267.58</v>
          </cell>
          <cell r="F281">
            <v>191.13</v>
          </cell>
          <cell r="H281">
            <v>217.74</v>
          </cell>
          <cell r="J281">
            <v>304.83999999999997</v>
          </cell>
          <cell r="L281">
            <v>104.75</v>
          </cell>
          <cell r="N281">
            <v>74.819999999999993</v>
          </cell>
        </row>
        <row r="282">
          <cell r="C282">
            <v>162</v>
          </cell>
          <cell r="D282">
            <v>269.22000000000003</v>
          </cell>
          <cell r="F282">
            <v>192.3</v>
          </cell>
          <cell r="H282">
            <v>219.09</v>
          </cell>
          <cell r="J282">
            <v>306.73</v>
          </cell>
          <cell r="L282">
            <v>105.38</v>
          </cell>
          <cell r="N282">
            <v>75.27</v>
          </cell>
        </row>
        <row r="283">
          <cell r="C283">
            <v>163</v>
          </cell>
          <cell r="D283">
            <v>270.87</v>
          </cell>
          <cell r="F283">
            <v>193.48</v>
          </cell>
          <cell r="H283">
            <v>220.44</v>
          </cell>
          <cell r="J283">
            <v>308.62</v>
          </cell>
          <cell r="L283">
            <v>106.02</v>
          </cell>
          <cell r="N283">
            <v>75.73</v>
          </cell>
        </row>
        <row r="284">
          <cell r="C284">
            <v>164</v>
          </cell>
          <cell r="D284">
            <v>272.51</v>
          </cell>
          <cell r="F284">
            <v>194.65</v>
          </cell>
          <cell r="H284">
            <v>221.79</v>
          </cell>
          <cell r="J284">
            <v>310.51</v>
          </cell>
          <cell r="L284">
            <v>106.65</v>
          </cell>
          <cell r="N284">
            <v>76.180000000000007</v>
          </cell>
        </row>
        <row r="285">
          <cell r="C285">
            <v>165</v>
          </cell>
          <cell r="D285">
            <v>274.16000000000003</v>
          </cell>
          <cell r="F285">
            <v>195.83</v>
          </cell>
          <cell r="H285">
            <v>223.14</v>
          </cell>
          <cell r="J285">
            <v>312.39999999999998</v>
          </cell>
          <cell r="L285">
            <v>107.29</v>
          </cell>
          <cell r="N285">
            <v>76.64</v>
          </cell>
        </row>
        <row r="286">
          <cell r="C286">
            <v>166</v>
          </cell>
          <cell r="D286">
            <v>275.81</v>
          </cell>
          <cell r="F286">
            <v>197.01</v>
          </cell>
          <cell r="H286">
            <v>224.48</v>
          </cell>
          <cell r="J286">
            <v>314.27</v>
          </cell>
          <cell r="L286">
            <v>107.93</v>
          </cell>
          <cell r="N286">
            <v>77.09</v>
          </cell>
        </row>
        <row r="287">
          <cell r="C287">
            <v>167</v>
          </cell>
          <cell r="D287">
            <v>277.45</v>
          </cell>
          <cell r="F287">
            <v>198.18</v>
          </cell>
          <cell r="H287">
            <v>225.83</v>
          </cell>
          <cell r="J287">
            <v>316.16000000000003</v>
          </cell>
          <cell r="L287">
            <v>108.56</v>
          </cell>
          <cell r="N287">
            <v>77.540000000000006</v>
          </cell>
        </row>
        <row r="288">
          <cell r="C288">
            <v>168</v>
          </cell>
          <cell r="D288">
            <v>279.10000000000002</v>
          </cell>
          <cell r="F288">
            <v>199.36</v>
          </cell>
          <cell r="H288">
            <v>227.18</v>
          </cell>
          <cell r="J288">
            <v>318.05</v>
          </cell>
          <cell r="L288">
            <v>109.2</v>
          </cell>
          <cell r="N288">
            <v>78</v>
          </cell>
        </row>
        <row r="289">
          <cell r="C289">
            <v>169</v>
          </cell>
          <cell r="D289">
            <v>280.74</v>
          </cell>
          <cell r="F289">
            <v>200.53</v>
          </cell>
          <cell r="H289">
            <v>228.53</v>
          </cell>
          <cell r="J289">
            <v>319.94</v>
          </cell>
          <cell r="L289">
            <v>109.84</v>
          </cell>
          <cell r="N289">
            <v>78.459999999999994</v>
          </cell>
        </row>
        <row r="290">
          <cell r="C290">
            <v>170</v>
          </cell>
          <cell r="D290">
            <v>282.39</v>
          </cell>
          <cell r="F290">
            <v>201.71</v>
          </cell>
          <cell r="H290">
            <v>229.88</v>
          </cell>
          <cell r="J290">
            <v>321.83</v>
          </cell>
          <cell r="L290">
            <v>110.47</v>
          </cell>
          <cell r="N290">
            <v>78.91</v>
          </cell>
        </row>
        <row r="291">
          <cell r="C291">
            <v>171</v>
          </cell>
          <cell r="D291">
            <v>284.04000000000002</v>
          </cell>
          <cell r="F291">
            <v>202.89</v>
          </cell>
          <cell r="H291">
            <v>231.23</v>
          </cell>
          <cell r="J291">
            <v>323.72000000000003</v>
          </cell>
          <cell r="L291">
            <v>111.11</v>
          </cell>
          <cell r="N291">
            <v>79.36</v>
          </cell>
        </row>
        <row r="292">
          <cell r="C292">
            <v>172</v>
          </cell>
          <cell r="D292">
            <v>285.68</v>
          </cell>
          <cell r="F292">
            <v>204.06</v>
          </cell>
          <cell r="H292">
            <v>232.57</v>
          </cell>
          <cell r="J292">
            <v>325.60000000000002</v>
          </cell>
          <cell r="L292">
            <v>111.74</v>
          </cell>
          <cell r="N292">
            <v>79.81</v>
          </cell>
        </row>
        <row r="293">
          <cell r="C293">
            <v>173</v>
          </cell>
          <cell r="D293">
            <v>287.33</v>
          </cell>
          <cell r="F293">
            <v>205.24</v>
          </cell>
          <cell r="H293">
            <v>233.92</v>
          </cell>
          <cell r="J293">
            <v>327.49</v>
          </cell>
          <cell r="L293">
            <v>112.38</v>
          </cell>
          <cell r="N293">
            <v>80.27</v>
          </cell>
        </row>
        <row r="294">
          <cell r="C294">
            <v>174</v>
          </cell>
          <cell r="D294">
            <v>288.97000000000003</v>
          </cell>
          <cell r="F294">
            <v>206.41</v>
          </cell>
          <cell r="H294">
            <v>235.27</v>
          </cell>
          <cell r="J294">
            <v>329.38</v>
          </cell>
          <cell r="L294">
            <v>113.02</v>
          </cell>
          <cell r="N294">
            <v>80.73</v>
          </cell>
        </row>
        <row r="295">
          <cell r="C295">
            <v>175</v>
          </cell>
          <cell r="D295">
            <v>290.62</v>
          </cell>
          <cell r="F295">
            <v>207.59</v>
          </cell>
          <cell r="H295">
            <v>236.62</v>
          </cell>
          <cell r="J295">
            <v>331.27</v>
          </cell>
          <cell r="L295">
            <v>113.65</v>
          </cell>
          <cell r="N295">
            <v>81.180000000000007</v>
          </cell>
        </row>
        <row r="296">
          <cell r="C296">
            <v>176</v>
          </cell>
          <cell r="D296">
            <v>292.26</v>
          </cell>
          <cell r="F296">
            <v>208.76</v>
          </cell>
          <cell r="H296">
            <v>237.97</v>
          </cell>
          <cell r="J296">
            <v>333.16</v>
          </cell>
          <cell r="L296">
            <v>114.29</v>
          </cell>
          <cell r="N296">
            <v>81.64</v>
          </cell>
        </row>
        <row r="297">
          <cell r="C297">
            <v>177</v>
          </cell>
          <cell r="D297">
            <v>293.91000000000003</v>
          </cell>
          <cell r="F297">
            <v>209.94</v>
          </cell>
          <cell r="H297">
            <v>239.32</v>
          </cell>
          <cell r="J297">
            <v>335.05</v>
          </cell>
          <cell r="L297">
            <v>114.92</v>
          </cell>
          <cell r="N297">
            <v>82.09</v>
          </cell>
        </row>
        <row r="298">
          <cell r="C298">
            <v>178</v>
          </cell>
          <cell r="D298">
            <v>295.56</v>
          </cell>
          <cell r="F298">
            <v>211.11</v>
          </cell>
          <cell r="H298">
            <v>240.67</v>
          </cell>
          <cell r="J298">
            <v>336.94</v>
          </cell>
          <cell r="L298">
            <v>115.56</v>
          </cell>
          <cell r="N298">
            <v>82.54</v>
          </cell>
        </row>
        <row r="299">
          <cell r="C299">
            <v>179</v>
          </cell>
          <cell r="D299">
            <v>297.2</v>
          </cell>
          <cell r="F299">
            <v>212.29</v>
          </cell>
          <cell r="H299">
            <v>242.01</v>
          </cell>
          <cell r="J299">
            <v>338.81</v>
          </cell>
          <cell r="L299">
            <v>116.2</v>
          </cell>
          <cell r="N299">
            <v>83</v>
          </cell>
        </row>
        <row r="300">
          <cell r="C300">
            <v>180</v>
          </cell>
          <cell r="D300">
            <v>298.85000000000002</v>
          </cell>
          <cell r="F300">
            <v>213.46</v>
          </cell>
          <cell r="H300">
            <v>243.36</v>
          </cell>
          <cell r="J300">
            <v>340.7</v>
          </cell>
          <cell r="L300">
            <v>116.83</v>
          </cell>
          <cell r="N300">
            <v>83.45</v>
          </cell>
        </row>
        <row r="301">
          <cell r="C301">
            <v>181</v>
          </cell>
          <cell r="D301">
            <v>300.49</v>
          </cell>
          <cell r="F301">
            <v>214.64</v>
          </cell>
          <cell r="H301">
            <v>244.71</v>
          </cell>
          <cell r="J301">
            <v>342.59</v>
          </cell>
          <cell r="L301">
            <v>117.47</v>
          </cell>
          <cell r="N301">
            <v>83.91</v>
          </cell>
        </row>
        <row r="302">
          <cell r="C302">
            <v>182</v>
          </cell>
          <cell r="D302">
            <v>302.14</v>
          </cell>
          <cell r="F302">
            <v>215.81</v>
          </cell>
          <cell r="H302">
            <v>246.06</v>
          </cell>
          <cell r="J302">
            <v>344.48</v>
          </cell>
          <cell r="L302">
            <v>118.11</v>
          </cell>
          <cell r="N302">
            <v>84.36</v>
          </cell>
        </row>
        <row r="303">
          <cell r="C303">
            <v>183</v>
          </cell>
          <cell r="D303">
            <v>303.77999999999997</v>
          </cell>
          <cell r="F303">
            <v>216.99</v>
          </cell>
          <cell r="H303">
            <v>247.41</v>
          </cell>
          <cell r="J303">
            <v>346.37</v>
          </cell>
          <cell r="L303">
            <v>118.74</v>
          </cell>
          <cell r="N303">
            <v>84.81</v>
          </cell>
        </row>
        <row r="304">
          <cell r="C304">
            <v>184</v>
          </cell>
          <cell r="D304">
            <v>305.43</v>
          </cell>
          <cell r="F304">
            <v>218.16</v>
          </cell>
          <cell r="H304">
            <v>248.76</v>
          </cell>
          <cell r="J304">
            <v>348.26</v>
          </cell>
          <cell r="L304">
            <v>119.38</v>
          </cell>
          <cell r="N304">
            <v>85.27</v>
          </cell>
        </row>
        <row r="305">
          <cell r="C305">
            <v>185</v>
          </cell>
          <cell r="D305">
            <v>307.08</v>
          </cell>
          <cell r="F305">
            <v>219.34</v>
          </cell>
          <cell r="H305">
            <v>250.1</v>
          </cell>
          <cell r="J305">
            <v>350.14</v>
          </cell>
          <cell r="L305">
            <v>120.01</v>
          </cell>
          <cell r="N305">
            <v>85.72</v>
          </cell>
        </row>
        <row r="306">
          <cell r="C306">
            <v>186</v>
          </cell>
          <cell r="D306">
            <v>308.72000000000003</v>
          </cell>
          <cell r="F306">
            <v>220.51</v>
          </cell>
          <cell r="H306">
            <v>251.45</v>
          </cell>
          <cell r="J306">
            <v>352.03</v>
          </cell>
          <cell r="L306">
            <v>120.65</v>
          </cell>
          <cell r="N306">
            <v>86.18</v>
          </cell>
        </row>
        <row r="307">
          <cell r="C307">
            <v>187</v>
          </cell>
          <cell r="D307">
            <v>310.37</v>
          </cell>
          <cell r="F307">
            <v>221.69</v>
          </cell>
          <cell r="H307">
            <v>252.8</v>
          </cell>
          <cell r="J307">
            <v>353.92</v>
          </cell>
          <cell r="L307">
            <v>121.29</v>
          </cell>
          <cell r="N307">
            <v>86.64</v>
          </cell>
        </row>
        <row r="308">
          <cell r="C308">
            <v>188</v>
          </cell>
          <cell r="D308">
            <v>312.01</v>
          </cell>
          <cell r="F308">
            <v>222.86</v>
          </cell>
          <cell r="H308">
            <v>254.15</v>
          </cell>
          <cell r="J308">
            <v>355.81</v>
          </cell>
          <cell r="L308">
            <v>121.92</v>
          </cell>
          <cell r="N308">
            <v>87.09</v>
          </cell>
        </row>
        <row r="309">
          <cell r="C309">
            <v>189</v>
          </cell>
          <cell r="D309">
            <v>313.66000000000003</v>
          </cell>
          <cell r="F309">
            <v>224.04</v>
          </cell>
          <cell r="H309">
            <v>255.5</v>
          </cell>
          <cell r="J309">
            <v>357.7</v>
          </cell>
          <cell r="L309">
            <v>122.56</v>
          </cell>
          <cell r="N309">
            <v>87.54</v>
          </cell>
        </row>
        <row r="310">
          <cell r="C310">
            <v>190</v>
          </cell>
          <cell r="D310">
            <v>315.3</v>
          </cell>
          <cell r="F310">
            <v>225.21</v>
          </cell>
          <cell r="H310">
            <v>256.85000000000002</v>
          </cell>
          <cell r="J310">
            <v>359.59</v>
          </cell>
          <cell r="L310">
            <v>123.2</v>
          </cell>
          <cell r="N310">
            <v>88</v>
          </cell>
        </row>
        <row r="311">
          <cell r="C311">
            <v>191</v>
          </cell>
          <cell r="D311">
            <v>316.95</v>
          </cell>
          <cell r="F311">
            <v>226.39</v>
          </cell>
          <cell r="H311">
            <v>258.19</v>
          </cell>
          <cell r="J311">
            <v>361.47</v>
          </cell>
          <cell r="L311">
            <v>123.83</v>
          </cell>
          <cell r="N311">
            <v>88.45</v>
          </cell>
        </row>
        <row r="312">
          <cell r="C312">
            <v>192</v>
          </cell>
          <cell r="D312">
            <v>318.60000000000002</v>
          </cell>
          <cell r="F312">
            <v>227.57</v>
          </cell>
          <cell r="H312">
            <v>259.54000000000002</v>
          </cell>
          <cell r="J312">
            <v>363.36</v>
          </cell>
          <cell r="L312">
            <v>124.47</v>
          </cell>
          <cell r="N312">
            <v>88.91</v>
          </cell>
        </row>
        <row r="313">
          <cell r="C313">
            <v>193</v>
          </cell>
          <cell r="D313">
            <v>320.24</v>
          </cell>
          <cell r="F313">
            <v>228.74</v>
          </cell>
          <cell r="H313">
            <v>260.89</v>
          </cell>
          <cell r="J313">
            <v>365.25</v>
          </cell>
          <cell r="L313">
            <v>125.1</v>
          </cell>
          <cell r="N313">
            <v>89.36</v>
          </cell>
        </row>
        <row r="314">
          <cell r="C314">
            <v>194</v>
          </cell>
          <cell r="D314">
            <v>321.89</v>
          </cell>
          <cell r="F314">
            <v>229.92</v>
          </cell>
          <cell r="H314">
            <v>262.24</v>
          </cell>
          <cell r="J314">
            <v>367.14</v>
          </cell>
          <cell r="L314">
            <v>125.74</v>
          </cell>
          <cell r="N314">
            <v>89.81</v>
          </cell>
        </row>
        <row r="315">
          <cell r="C315">
            <v>195</v>
          </cell>
          <cell r="D315">
            <v>323.52999999999997</v>
          </cell>
          <cell r="F315">
            <v>231.09</v>
          </cell>
          <cell r="H315">
            <v>263.58999999999997</v>
          </cell>
          <cell r="J315">
            <v>369.03</v>
          </cell>
          <cell r="L315">
            <v>126.38</v>
          </cell>
          <cell r="N315">
            <v>90.27</v>
          </cell>
        </row>
        <row r="316">
          <cell r="C316">
            <v>196</v>
          </cell>
          <cell r="D316">
            <v>325.18</v>
          </cell>
          <cell r="F316">
            <v>232.27</v>
          </cell>
          <cell r="H316">
            <v>264.94</v>
          </cell>
          <cell r="J316">
            <v>370.92</v>
          </cell>
          <cell r="L316">
            <v>127.01</v>
          </cell>
          <cell r="N316">
            <v>90.72</v>
          </cell>
        </row>
        <row r="317">
          <cell r="C317">
            <v>197</v>
          </cell>
          <cell r="D317">
            <v>326.82</v>
          </cell>
          <cell r="F317">
            <v>233.44</v>
          </cell>
          <cell r="H317">
            <v>266.27999999999997</v>
          </cell>
          <cell r="J317">
            <v>372.79</v>
          </cell>
          <cell r="L317">
            <v>127.65</v>
          </cell>
          <cell r="N317">
            <v>91.18</v>
          </cell>
        </row>
        <row r="318">
          <cell r="C318">
            <v>198</v>
          </cell>
          <cell r="D318">
            <v>328.47</v>
          </cell>
          <cell r="F318">
            <v>234.62</v>
          </cell>
          <cell r="H318">
            <v>267.63</v>
          </cell>
          <cell r="J318">
            <v>374.68</v>
          </cell>
          <cell r="L318">
            <v>128.29</v>
          </cell>
          <cell r="N318">
            <v>91.64</v>
          </cell>
        </row>
        <row r="319">
          <cell r="C319">
            <v>199</v>
          </cell>
          <cell r="D319">
            <v>330.12</v>
          </cell>
          <cell r="F319">
            <v>235.8</v>
          </cell>
          <cell r="H319">
            <v>268.98</v>
          </cell>
          <cell r="J319">
            <v>376.57</v>
          </cell>
          <cell r="L319">
            <v>128.91999999999999</v>
          </cell>
          <cell r="N319">
            <v>92.09</v>
          </cell>
        </row>
        <row r="320">
          <cell r="C320">
            <v>200</v>
          </cell>
          <cell r="D320">
            <v>331.76</v>
          </cell>
          <cell r="F320">
            <v>236.97</v>
          </cell>
          <cell r="H320">
            <v>270.33</v>
          </cell>
          <cell r="J320">
            <v>378.46</v>
          </cell>
          <cell r="L320">
            <v>129.56</v>
          </cell>
          <cell r="N320">
            <v>92.54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สรุป ปปช."/>
      <sheetName val="ปก"/>
      <sheetName val="Soil"/>
      <sheetName val="ปร.5 ท"/>
      <sheetName val="ปร.4_1"/>
      <sheetName val="ปร.4_2"/>
      <sheetName val="ปร.4_1 ท"/>
      <sheetName val="ทางเชื่อม (AC)"/>
      <sheetName val="เปรียบเทียบราคาวัสดุ"/>
      <sheetName val="ข้อมูลแหล่งราคาวัสดุ"/>
      <sheetName val="ราคาต้นทุนงานทาง"/>
      <sheetName val="งานป้ายจราจรระหว่างการก่อสร"/>
      <sheetName val="ค่าดำเนินการ"/>
      <sheetName val="บรรทุกสิบล้อ"/>
      <sheetName val="บรรทุกสิบล้อ+ลากพ่วง"/>
      <sheetName val="ดัชนี พัทลุง"/>
      <sheetName val="ดัชนี กทม."/>
      <sheetName val="F ทาง"/>
      <sheetName val="F สะพาน"/>
    </sheetNames>
    <sheetDataSet>
      <sheetData sheetId="0"/>
      <sheetData sheetId="1">
        <row r="20">
          <cell r="A20" t="str">
            <v>ซ่อมฟื้นฟูทางหลวงชนบทอันเนื่องมาจากเหตุภัยพิบัติ</v>
          </cell>
        </row>
      </sheetData>
      <sheetData sheetId="2"/>
      <sheetData sheetId="3">
        <row r="5">
          <cell r="C5" t="str">
            <v>ฟื้นฟูทางหลวงชนบทอันเนื่องมาจากเหตุภัยพิบัติ</v>
          </cell>
        </row>
      </sheetData>
      <sheetData sheetId="4"/>
      <sheetData sheetId="5"/>
      <sheetData sheetId="6"/>
      <sheetData sheetId="7"/>
      <sheetData sheetId="8">
        <row r="2">
          <cell r="Q2">
            <v>0</v>
          </cell>
        </row>
      </sheetData>
      <sheetData sheetId="9"/>
      <sheetData sheetId="10">
        <row r="391">
          <cell r="C391">
            <v>2.5</v>
          </cell>
          <cell r="D391">
            <v>0.75</v>
          </cell>
          <cell r="E391">
            <v>16.66</v>
          </cell>
        </row>
        <row r="392">
          <cell r="C392">
            <v>3</v>
          </cell>
          <cell r="D392">
            <v>0.8</v>
          </cell>
          <cell r="E392">
            <v>13.89</v>
          </cell>
        </row>
        <row r="393">
          <cell r="C393">
            <v>4</v>
          </cell>
          <cell r="D393">
            <v>0.9</v>
          </cell>
          <cell r="E393">
            <v>10.41</v>
          </cell>
        </row>
        <row r="394">
          <cell r="C394">
            <v>5</v>
          </cell>
          <cell r="D394">
            <v>1</v>
          </cell>
          <cell r="E394">
            <v>8.33</v>
          </cell>
        </row>
        <row r="395">
          <cell r="C395">
            <v>6</v>
          </cell>
          <cell r="D395">
            <v>1.6</v>
          </cell>
          <cell r="E395">
            <v>6.94</v>
          </cell>
        </row>
        <row r="396">
          <cell r="C396">
            <v>7</v>
          </cell>
          <cell r="D396">
            <v>1.7</v>
          </cell>
          <cell r="E396">
            <v>5.95</v>
          </cell>
        </row>
        <row r="397">
          <cell r="C397">
            <v>8</v>
          </cell>
          <cell r="D397">
            <v>1.8</v>
          </cell>
          <cell r="E397">
            <v>5.21</v>
          </cell>
        </row>
        <row r="398">
          <cell r="C398">
            <v>9</v>
          </cell>
          <cell r="D398">
            <v>1.9</v>
          </cell>
          <cell r="E398">
            <v>4.63</v>
          </cell>
        </row>
        <row r="399">
          <cell r="C399">
            <v>10</v>
          </cell>
          <cell r="D399">
            <v>2</v>
          </cell>
          <cell r="E399">
            <v>4.16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ส่งกรม"/>
      <sheetName val="ปร.5 ใส่ค่าเอง"/>
      <sheetName val="ปร.5"/>
      <sheetName val="ปร4.เฉพาะ"/>
      <sheetName val="ปร.5 (เฉพาะ)"/>
      <sheetName val="ปร.4"/>
      <sheetName val="ข้อมูลขนส่ง"/>
      <sheetName val="ข้อมูลราคาวัสดุ"/>
      <sheetName val="ค่างานต้นทุน"/>
      <sheetName val="ค่าเสื่อมราคา"/>
      <sheetName val="ค่าขนส่ง"/>
      <sheetName val="ค่าขนส่งด้วยรถพ่วง"/>
      <sheetName val="ค่าขนส่งด้วยหกล้อ"/>
      <sheetName val="ROAD_F_factor"/>
      <sheetName val="คิดค่ากำแพงปากท่อ"/>
      <sheetName val="หักลดเงินค่าขนส่ง"/>
      <sheetName val="select"/>
      <sheetName val="ปริมาณวัสดุ"/>
      <sheetName val="ดินตัด-ดินถม"/>
      <sheetName val="พื้นที่ Widening"/>
      <sheetName val="Modul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>
            <v>2</v>
          </cell>
        </row>
        <row r="4">
          <cell r="T4">
            <v>45</v>
          </cell>
          <cell r="V4">
            <v>53.28</v>
          </cell>
        </row>
        <row r="8">
          <cell r="T8">
            <v>280</v>
          </cell>
          <cell r="V8">
            <v>308.44</v>
          </cell>
          <cell r="X8">
            <v>45</v>
          </cell>
          <cell r="Z8">
            <v>86.66</v>
          </cell>
        </row>
        <row r="12">
          <cell r="P12">
            <v>15</v>
          </cell>
          <cell r="R12">
            <v>29.49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สรุป ปปช."/>
      <sheetName val="ปก"/>
      <sheetName val="Soil"/>
      <sheetName val="ปร.5 ท"/>
      <sheetName val="ปร.4_1"/>
      <sheetName val="ปร.4_2"/>
      <sheetName val="ปร.4_1 ท"/>
      <sheetName val="ทางเชื่อม (AC)"/>
      <sheetName val="เปรียบเทียบราคาวัสดุ"/>
      <sheetName val="ข้อมูลแหล่งราคาวัสดุ"/>
      <sheetName val="ราคาต้นทุนงานทาง"/>
      <sheetName val="งานป้ายจราจรระหว่างการก่อสร"/>
      <sheetName val="ค่าดำเนินการ"/>
      <sheetName val="บรรทุกสิบล้อ"/>
      <sheetName val="บรรทุกสิบล้อ+ลากพ่วง"/>
      <sheetName val="F ทาง"/>
      <sheetName val="F สะพาน"/>
    </sheetNames>
    <sheetDataSet>
      <sheetData sheetId="0"/>
      <sheetData sheetId="1"/>
      <sheetData sheetId="2"/>
      <sheetData sheetId="3"/>
      <sheetData sheetId="4"/>
      <sheetData sheetId="5">
        <row r="66">
          <cell r="D66" t="str">
            <v>ท่อลอดเหลี่ยมชนิดหล่อสำเร็จขนาด</v>
          </cell>
        </row>
        <row r="67">
          <cell r="D67" t="str">
            <v>ค่ายกประกอบติดตั้งท่อลอดเหลี่ยมชนิดหล่อสำเร็จ</v>
          </cell>
        </row>
        <row r="70">
          <cell r="D70" t="str">
            <v xml:space="preserve"> - คอนกรีต ค.3 สำหรับท่อลอดเหลี่ยมชนิดหล่อในที่ (ต่อเชื่อมกำแพงปากท่อ)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p2 สรุปผลประมาณราคาค่าก่อสร้าง2"/>
      <sheetName val="p4-11แบบประเมิณงาน ก"/>
      <sheetName val="p12-23 แบบประเมิน งาน ข."/>
      <sheetName val="p4-24 แบบประเมิณงาน ค."/>
      <sheetName val="p.33 pile post; 0.40 x0.40,L"/>
      <sheetName val="p.33 pile post;0.60,L"/>
      <sheetName val="p.34 pileBnt;10"/>
      <sheetName val="p.39 pileBnt ฐานแผ่;10+10"/>
      <sheetName val="p.41 pier'mid แผ่;10+20"/>
      <sheetName val="p.41 pier'mid แผ่;20+20"/>
      <sheetName val="p 43 slab'type;5-10"/>
      <sheetName val="p.42 skirt;2m'dth"/>
      <sheetName val="p.47-49 box;20"/>
      <sheetName val="p.59 Barrier'Rc;for side walk"/>
      <sheetName val="p26-30 ข้อมูลแหล่งราคาวัสดุ"/>
      <sheetName val="ราคาต้นทุนคอนกรีต - เหล็ก - ไม้"/>
      <sheetName val="ราคาต้นทุนงานทาง"/>
      <sheetName val="รายละเอียดงวดงาน 1"/>
      <sheetName val="รายละเอียดงวดงาน2"/>
      <sheetName val="รายละเอียดงวดงาน3"/>
      <sheetName val="ราคาวัสดุก่อสร้าง"/>
      <sheetName val="ค่าดำเนินการ"/>
      <sheetName val="FACTOR Fสะพาน"/>
      <sheetName val="FACTOR Fทา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1">
          <cell r="B11">
            <v>5</v>
          </cell>
          <cell r="I11">
            <v>1.3322464783333334</v>
          </cell>
          <cell r="T11">
            <v>1.3053950066666666</v>
          </cell>
        </row>
        <row r="12">
          <cell r="B12">
            <v>10</v>
          </cell>
          <cell r="I12">
            <v>1.2859539983333335</v>
          </cell>
          <cell r="T12">
            <v>1.2677558841666667</v>
          </cell>
        </row>
        <row r="13">
          <cell r="B13">
            <v>20</v>
          </cell>
          <cell r="I13">
            <v>1.2390195183333335</v>
          </cell>
          <cell r="T13">
            <v>1.2303173866666668</v>
          </cell>
        </row>
        <row r="14">
          <cell r="B14">
            <v>30</v>
          </cell>
          <cell r="I14">
            <v>1.2082291983333335</v>
          </cell>
          <cell r="T14">
            <v>1.2046673466666666</v>
          </cell>
        </row>
        <row r="15">
          <cell r="B15">
            <v>40</v>
          </cell>
          <cell r="I15">
            <v>1.2018805316666668</v>
          </cell>
          <cell r="T15">
            <v>1.1973482791666668</v>
          </cell>
        </row>
        <row r="16">
          <cell r="B16">
            <v>50</v>
          </cell>
          <cell r="I16">
            <v>1.1952231343333335</v>
          </cell>
          <cell r="T16">
            <v>1.1968623386666668</v>
          </cell>
        </row>
        <row r="17">
          <cell r="B17">
            <v>60</v>
          </cell>
          <cell r="I17">
            <v>1.1859860383333334</v>
          </cell>
          <cell r="T17">
            <v>1.1972182741666668</v>
          </cell>
        </row>
        <row r="18">
          <cell r="B18">
            <v>70</v>
          </cell>
          <cell r="I18">
            <v>1.1781659688095238</v>
          </cell>
          <cell r="T18">
            <v>1.1875819433333334</v>
          </cell>
        </row>
        <row r="19">
          <cell r="B19">
            <v>80</v>
          </cell>
          <cell r="I19">
            <v>1.1749803750000001</v>
          </cell>
          <cell r="T19">
            <v>1.1822910608333335</v>
          </cell>
        </row>
        <row r="20">
          <cell r="B20">
            <v>90</v>
          </cell>
          <cell r="I20">
            <v>1.1708971361111111</v>
          </cell>
          <cell r="T20">
            <v>1.1781759300000001</v>
          </cell>
        </row>
        <row r="21">
          <cell r="B21">
            <v>100</v>
          </cell>
          <cell r="I21">
            <v>1.1676305450000002</v>
          </cell>
          <cell r="T21">
            <v>1.1748838253333334</v>
          </cell>
        </row>
        <row r="22">
          <cell r="B22">
            <v>110</v>
          </cell>
          <cell r="I22">
            <v>1.1609085456060608</v>
          </cell>
          <cell r="T22">
            <v>1.1668402851515152</v>
          </cell>
        </row>
        <row r="23">
          <cell r="B23">
            <v>120</v>
          </cell>
          <cell r="I23">
            <v>1.1597592683333335</v>
          </cell>
          <cell r="T23">
            <v>1.1645956683333334</v>
          </cell>
        </row>
        <row r="24">
          <cell r="B24">
            <v>130</v>
          </cell>
          <cell r="I24">
            <v>1.1576862393589744</v>
          </cell>
          <cell r="T24">
            <v>1.1626963771794872</v>
          </cell>
        </row>
        <row r="25">
          <cell r="B25">
            <v>140</v>
          </cell>
          <cell r="I25">
            <v>1.1559093573809525</v>
          </cell>
          <cell r="T25">
            <v>1.1610684133333333</v>
          </cell>
        </row>
        <row r="26">
          <cell r="B26">
            <v>150</v>
          </cell>
          <cell r="I26">
            <v>1.1543693930000001</v>
          </cell>
          <cell r="T26">
            <v>1.1596575113333334</v>
          </cell>
        </row>
        <row r="27">
          <cell r="B27">
            <v>160</v>
          </cell>
          <cell r="I27">
            <v>1.1541694991666667</v>
          </cell>
          <cell r="T27">
            <v>1.16374524125</v>
          </cell>
        </row>
        <row r="28">
          <cell r="B28">
            <v>170</v>
          </cell>
          <cell r="I28">
            <v>1.153231534019608</v>
          </cell>
          <cell r="T28">
            <v>1.1622914652941176</v>
          </cell>
        </row>
        <row r="29">
          <cell r="B29">
            <v>180</v>
          </cell>
          <cell r="I29">
            <v>1.1521362316666668</v>
          </cell>
          <cell r="T29">
            <v>1.1609992200000001</v>
          </cell>
        </row>
        <row r="30">
          <cell r="B30">
            <v>190</v>
          </cell>
          <cell r="I30">
            <v>1.1466044818421053</v>
          </cell>
          <cell r="T30">
            <v>1.1544930005263159</v>
          </cell>
        </row>
        <row r="31">
          <cell r="B31">
            <v>200</v>
          </cell>
          <cell r="I31">
            <v>1.1456823840000001</v>
          </cell>
          <cell r="T31">
            <v>1.1573201319999999</v>
          </cell>
        </row>
        <row r="32">
          <cell r="B32">
            <v>210</v>
          </cell>
          <cell r="I32">
            <v>1.1448481050000001</v>
          </cell>
          <cell r="T32">
            <v>1.1562441400000001</v>
          </cell>
        </row>
        <row r="33">
          <cell r="B33">
            <v>220</v>
          </cell>
          <cell r="I33">
            <v>1.1440896695454545</v>
          </cell>
          <cell r="T33">
            <v>1.1552659654545454</v>
          </cell>
        </row>
        <row r="34">
          <cell r="B34">
            <v>230</v>
          </cell>
          <cell r="I34">
            <v>1.1433971850000002</v>
          </cell>
          <cell r="T34">
            <v>1.1543728495652175</v>
          </cell>
        </row>
        <row r="35">
          <cell r="B35">
            <v>240</v>
          </cell>
          <cell r="I35">
            <v>1.1427624075</v>
          </cell>
          <cell r="T35">
            <v>1.1535541600000001</v>
          </cell>
        </row>
        <row r="36">
          <cell r="B36">
            <v>250</v>
          </cell>
          <cell r="I36">
            <v>1.1421784122</v>
          </cell>
          <cell r="T36">
            <v>1.1528009656000002</v>
          </cell>
        </row>
        <row r="37">
          <cell r="B37">
            <v>260</v>
          </cell>
          <cell r="I37">
            <v>1.1416393396153846</v>
          </cell>
          <cell r="T37">
            <v>1.1521057092307694</v>
          </cell>
        </row>
        <row r="38">
          <cell r="B38">
            <v>270</v>
          </cell>
          <cell r="I38">
            <v>1.1411401983333336</v>
          </cell>
          <cell r="T38">
            <v>1.1514619533333335</v>
          </cell>
        </row>
        <row r="39">
          <cell r="B39">
            <v>280</v>
          </cell>
          <cell r="I39">
            <v>1.1406767099999999</v>
          </cell>
          <cell r="T39">
            <v>1.1508641800000001</v>
          </cell>
        </row>
        <row r="40">
          <cell r="B40">
            <v>290</v>
          </cell>
          <cell r="I40">
            <v>1.1402451863793106</v>
          </cell>
          <cell r="T40">
            <v>1.1503076324137933</v>
          </cell>
        </row>
        <row r="41">
          <cell r="B41">
            <v>300</v>
          </cell>
          <cell r="I41">
            <v>1.1398424310000002</v>
          </cell>
          <cell r="T41">
            <v>1.149788188</v>
          </cell>
        </row>
        <row r="42">
          <cell r="B42">
            <v>350</v>
          </cell>
          <cell r="I42">
            <v>1.1382123114761904</v>
          </cell>
          <cell r="T42">
            <v>1.1486940569523809</v>
          </cell>
        </row>
        <row r="43">
          <cell r="B43">
            <v>400</v>
          </cell>
          <cell r="I43">
            <v>1.1358963423333333</v>
          </cell>
          <cell r="T43">
            <v>1.1467399006666668</v>
          </cell>
        </row>
        <row r="44">
          <cell r="B44">
            <v>450</v>
          </cell>
          <cell r="I44">
            <v>1.1340950330000001</v>
          </cell>
          <cell r="T44">
            <v>1.1452200013333336</v>
          </cell>
        </row>
        <row r="45">
          <cell r="B45">
            <v>500</v>
          </cell>
          <cell r="I45">
            <v>1.1326539855333333</v>
          </cell>
          <cell r="T45">
            <v>1.1440040818666668</v>
          </cell>
        </row>
        <row r="46">
          <cell r="B46">
            <v>500</v>
          </cell>
          <cell r="I46">
            <v>1.1326539855333333</v>
          </cell>
          <cell r="T46">
            <v>1.1440040818666668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E10" sqref="E10"/>
    </sheetView>
  </sheetViews>
  <sheetFormatPr defaultColWidth="9" defaultRowHeight="23.1" customHeight="1"/>
  <cols>
    <col min="1" max="1" width="5.75" style="53" customWidth="1"/>
    <col min="2" max="2" width="7.75" style="53" customWidth="1"/>
    <col min="3" max="4" width="15.75" style="25" customWidth="1"/>
    <col min="5" max="5" width="23.75" style="25" customWidth="1"/>
    <col min="6" max="6" width="15.625" style="25" customWidth="1"/>
    <col min="7" max="7" width="10.75" style="25" customWidth="1"/>
    <col min="8" max="16384" width="9" style="25"/>
  </cols>
  <sheetData>
    <row r="1" spans="1:8" ht="35.1" customHeight="1">
      <c r="A1" s="1506" t="s">
        <v>1501</v>
      </c>
      <c r="B1" s="1506"/>
      <c r="C1" s="1506"/>
      <c r="D1" s="1506"/>
      <c r="E1" s="1506"/>
      <c r="F1" s="1506"/>
      <c r="G1" s="1506"/>
      <c r="H1" s="24"/>
    </row>
    <row r="2" spans="1:8" s="31" customFormat="1" ht="30" customHeight="1">
      <c r="A2" s="26" t="s">
        <v>1502</v>
      </c>
      <c r="B2" s="27" t="str">
        <f>"ชื่อโครงการ  "&amp;'ปร.5 ท'!C4</f>
        <v>ชื่อโครงการ  บำรุงรักษาระบบโครงข่ายทาง</v>
      </c>
      <c r="C2" s="28"/>
      <c r="D2" s="28"/>
      <c r="E2" s="29"/>
      <c r="F2" s="28"/>
      <c r="G2" s="30"/>
    </row>
    <row r="3" spans="1:8" ht="23.1" customHeight="1">
      <c r="A3" s="32"/>
      <c r="B3" s="33" t="str">
        <f>"สาย "&amp;'ปร.5 ท'!C5&amp;" "&amp;'ปร.5 ท'!D5</f>
        <v xml:space="preserve">สาย  </v>
      </c>
      <c r="C3" s="34"/>
      <c r="D3" s="34"/>
      <c r="E3" s="34"/>
      <c r="F3" s="34"/>
      <c r="G3" s="35"/>
    </row>
    <row r="4" spans="1:8" ht="23.1" customHeight="1">
      <c r="A4" s="32"/>
      <c r="B4" s="33" t="str">
        <f>'ปร.5 ท'!C6&amp;" จำนวน 1.000  แห่ง"</f>
        <v>ตำบลควนขนุน อำเภอควนขนุน  จังหวัดพัทลุง จำนวน 1.000  แห่ง</v>
      </c>
      <c r="C4" s="34"/>
      <c r="D4" s="34"/>
      <c r="E4" s="34"/>
      <c r="F4" s="34"/>
      <c r="G4" s="35"/>
    </row>
    <row r="5" spans="1:8" ht="23.1" customHeight="1">
      <c r="A5" s="36"/>
      <c r="B5" s="37" t="s">
        <v>1794</v>
      </c>
      <c r="C5" s="34"/>
      <c r="D5" s="34"/>
      <c r="E5" s="33"/>
      <c r="F5" s="34"/>
      <c r="G5" s="35"/>
    </row>
    <row r="6" spans="1:8" ht="23.1" customHeight="1">
      <c r="A6" s="38" t="s">
        <v>1503</v>
      </c>
      <c r="B6" s="37" t="s">
        <v>1504</v>
      </c>
      <c r="C6" s="34"/>
      <c r="D6" s="34"/>
      <c r="E6" s="33" t="str">
        <f>FIXED('ปร.5 ท'!I25,2)&amp;"  บาท"</f>
        <v>718,000.00  บาท</v>
      </c>
      <c r="F6" s="34"/>
      <c r="G6" s="35"/>
    </row>
    <row r="7" spans="1:8" ht="23.1" customHeight="1">
      <c r="A7" s="38" t="s">
        <v>1505</v>
      </c>
      <c r="B7" s="37" t="s">
        <v>1506</v>
      </c>
      <c r="C7" s="34"/>
      <c r="D7" s="39" t="s">
        <v>1507</v>
      </c>
      <c r="E7" s="40" t="str">
        <f>ปก!A15</f>
        <v>ซ่อมสร้างผิวทางพาราแอสฟัลท์ติกคอนกรีต</v>
      </c>
      <c r="F7" s="41"/>
      <c r="G7" s="42"/>
    </row>
    <row r="8" spans="1:8" ht="23.1" customHeight="1">
      <c r="A8" s="36"/>
      <c r="B8" s="43" t="str">
        <f>E7</f>
        <v>ซ่อมสร้างผิวทางพาราแอสฟัลท์ติกคอนกรีต</v>
      </c>
      <c r="C8" s="34"/>
      <c r="D8" s="34"/>
      <c r="E8" s="37"/>
      <c r="F8" s="34"/>
      <c r="G8" s="35"/>
    </row>
    <row r="9" spans="1:8" ht="23.1" customHeight="1">
      <c r="A9" s="32"/>
      <c r="B9" s="39" t="s">
        <v>10</v>
      </c>
      <c r="C9" s="40" t="s">
        <v>1508</v>
      </c>
      <c r="D9" s="40"/>
      <c r="E9" s="44"/>
      <c r="F9" s="34"/>
      <c r="G9" s="35"/>
    </row>
    <row r="10" spans="1:8" ht="23.1" customHeight="1">
      <c r="A10" s="32"/>
      <c r="B10" s="39" t="s">
        <v>10</v>
      </c>
      <c r="C10" s="40" t="s">
        <v>1509</v>
      </c>
      <c r="D10" s="40"/>
      <c r="E10" s="44"/>
      <c r="F10" s="34"/>
      <c r="G10" s="35"/>
    </row>
    <row r="11" spans="1:8" ht="23.1" customHeight="1">
      <c r="A11" s="32"/>
      <c r="B11" s="39" t="s">
        <v>10</v>
      </c>
      <c r="C11" s="40" t="s">
        <v>1510</v>
      </c>
      <c r="D11" s="40"/>
      <c r="E11" s="44"/>
      <c r="F11" s="34"/>
      <c r="G11" s="35"/>
    </row>
    <row r="12" spans="1:8" ht="23.1" customHeight="1">
      <c r="A12" s="32"/>
      <c r="B12" s="39" t="s">
        <v>10</v>
      </c>
      <c r="C12" s="40" t="s">
        <v>1511</v>
      </c>
      <c r="D12" s="40"/>
      <c r="E12" s="44"/>
      <c r="F12" s="34"/>
      <c r="G12" s="35"/>
    </row>
    <row r="13" spans="1:8" ht="23.1" customHeight="1">
      <c r="A13" s="32"/>
      <c r="B13" s="39" t="s">
        <v>10</v>
      </c>
      <c r="C13" s="40" t="s">
        <v>1512</v>
      </c>
      <c r="D13" s="40"/>
      <c r="E13" s="44"/>
      <c r="F13" s="33"/>
      <c r="G13" s="35"/>
    </row>
    <row r="14" spans="1:8" ht="23.1" customHeight="1">
      <c r="A14" s="32"/>
      <c r="B14" s="39" t="s">
        <v>10</v>
      </c>
      <c r="C14" s="40" t="s">
        <v>1513</v>
      </c>
      <c r="D14" s="40"/>
      <c r="E14" s="44"/>
      <c r="F14" s="34"/>
      <c r="G14" s="35"/>
    </row>
    <row r="15" spans="1:8" ht="23.1" customHeight="1">
      <c r="A15" s="32"/>
      <c r="B15" s="39" t="s">
        <v>10</v>
      </c>
      <c r="C15" s="40" t="s">
        <v>1514</v>
      </c>
      <c r="D15" s="40"/>
      <c r="E15" s="44"/>
      <c r="F15" s="34"/>
      <c r="G15" s="35"/>
    </row>
    <row r="16" spans="1:8" ht="23.1" customHeight="1">
      <c r="A16" s="32"/>
      <c r="B16" s="39" t="s">
        <v>10</v>
      </c>
      <c r="C16" s="40" t="s">
        <v>1515</v>
      </c>
      <c r="D16" s="40"/>
      <c r="E16" s="44"/>
      <c r="F16" s="34"/>
      <c r="G16" s="35"/>
    </row>
    <row r="17" spans="1:7" ht="23.1" customHeight="1">
      <c r="A17" s="32"/>
      <c r="B17" s="39" t="s">
        <v>10</v>
      </c>
      <c r="C17" s="40" t="s">
        <v>90</v>
      </c>
      <c r="D17" s="40"/>
      <c r="E17" s="44"/>
      <c r="F17" s="34"/>
      <c r="G17" s="35"/>
    </row>
    <row r="18" spans="1:7" ht="23.1" customHeight="1">
      <c r="A18" s="32"/>
      <c r="B18" s="39" t="s">
        <v>10</v>
      </c>
      <c r="C18" s="40" t="s">
        <v>1516</v>
      </c>
      <c r="D18" s="40"/>
      <c r="E18" s="44"/>
      <c r="F18" s="34"/>
      <c r="G18" s="35"/>
    </row>
    <row r="19" spans="1:7" ht="23.1" customHeight="1">
      <c r="A19" s="32"/>
      <c r="B19" s="39" t="s">
        <v>10</v>
      </c>
      <c r="C19" s="40" t="s">
        <v>426</v>
      </c>
      <c r="D19" s="40"/>
      <c r="E19" s="44"/>
      <c r="F19" s="34"/>
      <c r="G19" s="35"/>
    </row>
    <row r="20" spans="1:7" ht="23.1" customHeight="1">
      <c r="A20" s="36"/>
      <c r="B20" s="39" t="s">
        <v>10</v>
      </c>
      <c r="C20" s="33" t="s">
        <v>1517</v>
      </c>
      <c r="D20" s="33"/>
      <c r="E20" s="44"/>
      <c r="F20" s="34"/>
      <c r="G20" s="35"/>
    </row>
    <row r="21" spans="1:7" ht="23.1" customHeight="1">
      <c r="A21" s="38" t="s">
        <v>1518</v>
      </c>
      <c r="B21" s="45" t="s">
        <v>1525</v>
      </c>
      <c r="C21" s="34"/>
      <c r="D21" s="46" t="str">
        <f>'ปร.5 ท'!C17&amp;" "&amp;'ปร.5 ท'!E17&amp;" "&amp;'ปร.5 ท'!G17&amp;"  (วันที่อธิบดีเห็นชอบ)"</f>
        <v>30 มิถุนายน 2563  (วันที่อธิบดีเห็นชอบ)</v>
      </c>
      <c r="E21" s="34"/>
      <c r="F21" s="33"/>
      <c r="G21" s="35"/>
    </row>
    <row r="22" spans="1:7" ht="23.1" customHeight="1">
      <c r="A22" s="47"/>
      <c r="B22" s="34" t="str">
        <f>"เป็นเงิน  "&amp;FIXED('ปร.5 ท'!I25,2)&amp;"  บาท"</f>
        <v>เป็นเงิน  718,000.00  บาท</v>
      </c>
      <c r="C22" s="34"/>
      <c r="D22" s="34"/>
      <c r="E22" s="33"/>
      <c r="F22" s="34"/>
      <c r="G22" s="35"/>
    </row>
    <row r="23" spans="1:7" ht="23.1" customHeight="1">
      <c r="A23" s="38" t="s">
        <v>1519</v>
      </c>
      <c r="B23" s="45" t="s">
        <v>1520</v>
      </c>
      <c r="C23" s="34"/>
      <c r="D23" s="34"/>
      <c r="E23" s="45"/>
      <c r="F23" s="33"/>
      <c r="G23" s="35"/>
    </row>
    <row r="24" spans="1:7" ht="23.1" customHeight="1">
      <c r="A24" s="47"/>
      <c r="B24" s="34" t="s">
        <v>1777</v>
      </c>
      <c r="C24" s="34"/>
      <c r="D24" s="34"/>
      <c r="E24" s="34"/>
      <c r="F24" s="34"/>
      <c r="G24" s="35"/>
    </row>
    <row r="25" spans="1:7" ht="23.1" customHeight="1">
      <c r="A25" s="38" t="s">
        <v>1521</v>
      </c>
      <c r="B25" s="45" t="s">
        <v>1522</v>
      </c>
      <c r="C25" s="34"/>
      <c r="D25" s="34"/>
      <c r="E25" s="45"/>
      <c r="F25" s="34"/>
      <c r="G25" s="35"/>
    </row>
    <row r="26" spans="1:7" ht="23.1" customHeight="1">
      <c r="A26" s="36"/>
      <c r="B26" s="48">
        <v>6.1</v>
      </c>
      <c r="C26" s="34" t="str">
        <f>'ปร.5 ท'!M35</f>
        <v>นางรุจิรา</v>
      </c>
      <c r="D26" s="34" t="str">
        <f>'ปร.5 ท'!N35</f>
        <v>กลับแป้น</v>
      </c>
      <c r="E26" s="34" t="str">
        <f>'ปร.5 ท'!O35</f>
        <v>รองปลัดเทศบาล</v>
      </c>
      <c r="F26" s="34" t="str">
        <f>'ปร.5 ท'!Q29</f>
        <v>ประธานกรรมการฯ</v>
      </c>
      <c r="G26" s="35"/>
    </row>
    <row r="27" spans="1:7" ht="23.1" customHeight="1">
      <c r="A27" s="32"/>
      <c r="B27" s="48">
        <v>6.2</v>
      </c>
      <c r="C27" s="34" t="str">
        <f>'ปร.5 ท'!M34</f>
        <v>นายบุญภาศ</v>
      </c>
      <c r="D27" s="34" t="str">
        <f>'ปร.5 ท'!N34</f>
        <v>ทองฤทธิ์นุ่น</v>
      </c>
      <c r="E27" s="34" t="str">
        <f>'ปร.5 ท'!O34</f>
        <v>ผู้อำนวยการกองช่าง</v>
      </c>
      <c r="F27" s="34" t="str">
        <f>'ปร.5 ท'!Q30</f>
        <v>กรรมการ</v>
      </c>
      <c r="G27" s="35"/>
    </row>
    <row r="28" spans="1:7" ht="23.1" customHeight="1">
      <c r="A28" s="32"/>
      <c r="B28" s="48">
        <v>6.3</v>
      </c>
      <c r="C28" s="34" t="str">
        <f>'ปร.5 ท'!M33</f>
        <v xml:space="preserve">นางสาวพันธุ์ทิพย์ </v>
      </c>
      <c r="D28" s="34" t="str">
        <f>'ปร.5 ท'!N33</f>
        <v>ทองเดช</v>
      </c>
      <c r="E28" s="34" t="str">
        <f>'ปร.5 ท'!O33</f>
        <v>นายช่างเขียนแบบ อาวุโส</v>
      </c>
      <c r="F28" s="34" t="str">
        <f>'ปร.5 ท'!Q31</f>
        <v>กรรมการ</v>
      </c>
      <c r="G28" s="35"/>
    </row>
    <row r="29" spans="1:7" ht="23.1" customHeight="1">
      <c r="A29" s="32"/>
      <c r="B29" s="48"/>
      <c r="C29" s="34"/>
      <c r="D29" s="34"/>
      <c r="E29" s="34"/>
      <c r="F29" s="34"/>
      <c r="G29" s="35"/>
    </row>
    <row r="30" spans="1:7" ht="23.1" customHeight="1">
      <c r="A30" s="32"/>
      <c r="B30" s="48"/>
      <c r="C30" s="34"/>
      <c r="D30" s="34"/>
      <c r="E30" s="34"/>
      <c r="F30" s="34"/>
      <c r="G30" s="35"/>
    </row>
    <row r="31" spans="1:7" ht="23.1" customHeight="1">
      <c r="A31" s="32"/>
      <c r="B31" s="48"/>
      <c r="C31" s="34"/>
      <c r="D31" s="34"/>
      <c r="E31" s="34"/>
      <c r="F31" s="34"/>
      <c r="G31" s="35"/>
    </row>
    <row r="32" spans="1:7" ht="23.1" customHeight="1">
      <c r="A32" s="32"/>
      <c r="B32" s="48"/>
      <c r="C32" s="34"/>
      <c r="D32" s="34"/>
      <c r="E32" s="34"/>
      <c r="F32" s="34"/>
      <c r="G32" s="35"/>
    </row>
    <row r="33" spans="1:7" ht="23.1" customHeight="1">
      <c r="A33" s="32"/>
      <c r="B33" s="48"/>
      <c r="C33" s="34"/>
      <c r="D33" s="34"/>
      <c r="E33" s="34"/>
      <c r="F33" s="34"/>
      <c r="G33" s="35"/>
    </row>
    <row r="34" spans="1:7" ht="23.1" customHeight="1">
      <c r="A34" s="49"/>
      <c r="B34" s="50"/>
      <c r="C34" s="51"/>
      <c r="D34" s="51"/>
      <c r="E34" s="51"/>
      <c r="F34" s="51"/>
      <c r="G34" s="52"/>
    </row>
  </sheetData>
  <mergeCells count="1">
    <mergeCell ref="A1:G1"/>
  </mergeCells>
  <printOptions horizontalCentered="1"/>
  <pageMargins left="0.59055118110236227" right="0.19685039370078741" top="0.59055118110236227" bottom="0.19685039370078741" header="0" footer="0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view="pageBreakPreview" zoomScaleSheetLayoutView="100" workbookViewId="0">
      <selection activeCell="M32" sqref="M32"/>
    </sheetView>
  </sheetViews>
  <sheetFormatPr defaultColWidth="9" defaultRowHeight="24"/>
  <cols>
    <col min="1" max="9" width="8.625" style="658" customWidth="1"/>
    <col min="10" max="16384" width="9" style="658"/>
  </cols>
  <sheetData>
    <row r="1" spans="1:9" ht="24.95" customHeight="1"/>
    <row r="2" spans="1:9" ht="24.95" customHeight="1"/>
    <row r="3" spans="1:9" ht="24.95" customHeight="1"/>
    <row r="4" spans="1:9" ht="24.95" customHeight="1"/>
    <row r="5" spans="1:9" ht="24.95" customHeight="1"/>
    <row r="6" spans="1:9" ht="24.95" customHeight="1"/>
    <row r="7" spans="1:9" ht="24.95" customHeight="1"/>
    <row r="8" spans="1:9" ht="24.95" customHeight="1"/>
    <row r="9" spans="1:9" ht="35.1" customHeight="1">
      <c r="A9" s="1510" t="s">
        <v>1940</v>
      </c>
      <c r="B9" s="1510"/>
      <c r="C9" s="1510"/>
      <c r="D9" s="1510"/>
      <c r="E9" s="1510"/>
      <c r="F9" s="1510"/>
      <c r="G9" s="1510"/>
      <c r="H9" s="1510"/>
      <c r="I9" s="1510"/>
    </row>
    <row r="10" spans="1:9" ht="24.95" customHeight="1">
      <c r="A10" s="659"/>
      <c r="B10" s="659"/>
      <c r="C10" s="659"/>
      <c r="D10" s="659"/>
      <c r="E10" s="659"/>
      <c r="F10" s="659"/>
      <c r="G10" s="659"/>
      <c r="H10" s="659"/>
      <c r="I10" s="659"/>
    </row>
    <row r="11" spans="1:9" ht="35.1" customHeight="1">
      <c r="A11" s="1510" t="s">
        <v>1339</v>
      </c>
      <c r="B11" s="1510"/>
      <c r="C11" s="1510"/>
      <c r="D11" s="1510"/>
      <c r="E11" s="1510"/>
      <c r="F11" s="1510"/>
      <c r="G11" s="1510"/>
      <c r="H11" s="1510"/>
      <c r="I11" s="1510"/>
    </row>
    <row r="12" spans="1:9" ht="24.95" customHeight="1"/>
    <row r="13" spans="1:9" ht="30" customHeight="1">
      <c r="A13" s="1511" t="str">
        <f>"โครงการ"&amp;'ปร.5 ท'!C4</f>
        <v>โครงการบำรุงรักษาระบบโครงข่ายทาง</v>
      </c>
      <c r="B13" s="1511"/>
      <c r="C13" s="1511"/>
      <c r="D13" s="1511"/>
      <c r="E13" s="1511"/>
      <c r="F13" s="1511"/>
      <c r="G13" s="1511"/>
      <c r="H13" s="1511"/>
      <c r="I13" s="1511"/>
    </row>
    <row r="14" spans="1:9" ht="24.95" customHeight="1">
      <c r="A14" s="660"/>
      <c r="B14" s="660"/>
      <c r="C14" s="660"/>
      <c r="D14" s="660"/>
      <c r="E14" s="660"/>
      <c r="F14" s="660"/>
      <c r="G14" s="660"/>
      <c r="H14" s="660"/>
      <c r="I14" s="660"/>
    </row>
    <row r="15" spans="1:9" ht="24.95" customHeight="1">
      <c r="A15" s="1509" t="s">
        <v>1942</v>
      </c>
      <c r="B15" s="1509"/>
      <c r="C15" s="1509"/>
      <c r="D15" s="1509"/>
      <c r="E15" s="1509"/>
      <c r="F15" s="1509"/>
      <c r="G15" s="1509"/>
      <c r="H15" s="1509"/>
      <c r="I15" s="1509"/>
    </row>
    <row r="16" spans="1:9" ht="24.95" customHeight="1">
      <c r="A16" s="660"/>
      <c r="B16" s="660"/>
      <c r="C16" s="660"/>
      <c r="D16" s="660"/>
      <c r="E16" s="660"/>
      <c r="F16" s="660"/>
      <c r="G16" s="660"/>
      <c r="H16" s="660"/>
      <c r="I16" s="660"/>
    </row>
    <row r="17" spans="1:9" ht="24.95" customHeight="1">
      <c r="A17" s="1508" t="str">
        <f>"รหัสสายทาง "&amp;'ปร.5 ท'!C5</f>
        <v xml:space="preserve">รหัสสายทาง </v>
      </c>
      <c r="B17" s="1508"/>
      <c r="C17" s="1508"/>
      <c r="D17" s="1508"/>
      <c r="E17" s="1508"/>
      <c r="F17" s="1508"/>
      <c r="G17" s="1508"/>
      <c r="H17" s="1508"/>
      <c r="I17" s="1508"/>
    </row>
    <row r="18" spans="1:9" ht="24.95" customHeight="1">
      <c r="A18" s="660"/>
      <c r="B18" s="660"/>
      <c r="C18" s="660"/>
      <c r="D18" s="660"/>
      <c r="E18" s="660"/>
      <c r="F18" s="660"/>
      <c r="G18" s="660"/>
      <c r="H18" s="660"/>
      <c r="I18" s="660"/>
    </row>
    <row r="19" spans="1:9" ht="24.95" customHeight="1">
      <c r="A19" s="1508">
        <f>'ปร.5 ท'!D5</f>
        <v>0</v>
      </c>
      <c r="B19" s="1508"/>
      <c r="C19" s="1508"/>
      <c r="D19" s="1508"/>
      <c r="E19" s="1508"/>
      <c r="F19" s="1508"/>
      <c r="G19" s="1508"/>
      <c r="H19" s="1508"/>
      <c r="I19" s="1508"/>
    </row>
    <row r="20" spans="1:9" ht="24.95" customHeight="1">
      <c r="A20" s="660"/>
      <c r="B20" s="660"/>
      <c r="C20" s="660"/>
      <c r="D20" s="660"/>
      <c r="E20" s="660"/>
      <c r="F20" s="660"/>
      <c r="G20" s="660"/>
      <c r="H20" s="660"/>
      <c r="I20" s="660"/>
    </row>
    <row r="21" spans="1:9" ht="24.95" customHeight="1">
      <c r="A21" s="1507" t="str">
        <f>'ปร.5 ท'!C6</f>
        <v>ตำบลควนขนุน อำเภอควนขนุน  จังหวัดพัทลุง</v>
      </c>
      <c r="B21" s="1507"/>
      <c r="C21" s="1507"/>
      <c r="D21" s="1507"/>
      <c r="E21" s="1507"/>
      <c r="F21" s="1507"/>
      <c r="G21" s="1507"/>
      <c r="H21" s="1507"/>
      <c r="I21" s="1507"/>
    </row>
    <row r="22" spans="1:9" ht="24.95" customHeight="1"/>
    <row r="23" spans="1:9" ht="24.95" customHeight="1">
      <c r="A23" s="1507" t="s">
        <v>1943</v>
      </c>
      <c r="B23" s="1507"/>
      <c r="C23" s="1507"/>
      <c r="D23" s="1507"/>
      <c r="E23" s="1507"/>
      <c r="F23" s="1507"/>
      <c r="G23" s="1507"/>
      <c r="H23" s="1507"/>
      <c r="I23" s="1507"/>
    </row>
    <row r="24" spans="1:9" ht="24.95" customHeight="1"/>
    <row r="25" spans="1:9" ht="24.95" customHeight="1">
      <c r="A25" s="1508" t="str">
        <f>"งบประมาณ "&amp;FIXED('ปร.5 ท'!I25,0)&amp;" บาท"</f>
        <v>งบประมาณ 718,000 บาท</v>
      </c>
      <c r="B25" s="1508"/>
      <c r="C25" s="1508"/>
      <c r="D25" s="1508"/>
      <c r="E25" s="1508"/>
      <c r="F25" s="1508"/>
      <c r="G25" s="1508"/>
      <c r="H25" s="1508"/>
      <c r="I25" s="1508"/>
    </row>
    <row r="26" spans="1:9" ht="24.95" customHeight="1"/>
    <row r="27" spans="1:9" ht="24.95" customHeight="1"/>
    <row r="28" spans="1:9" ht="24.95" customHeight="1" thickBot="1">
      <c r="A28" s="661" t="s">
        <v>1793</v>
      </c>
      <c r="B28" s="661"/>
      <c r="C28" s="661"/>
      <c r="D28" s="661"/>
      <c r="E28" s="661"/>
      <c r="F28" s="661"/>
      <c r="G28" s="661"/>
      <c r="H28" s="661"/>
      <c r="I28" s="662" t="s">
        <v>1798</v>
      </c>
    </row>
    <row r="29" spans="1:9" ht="24.95" customHeight="1">
      <c r="A29" s="663" t="s">
        <v>1797</v>
      </c>
      <c r="B29" s="663"/>
      <c r="C29" s="663"/>
      <c r="D29" s="663"/>
      <c r="E29" s="663"/>
      <c r="F29" s="663"/>
      <c r="G29" s="663"/>
      <c r="H29" s="663"/>
      <c r="I29" s="664" t="s">
        <v>415</v>
      </c>
    </row>
  </sheetData>
  <mergeCells count="9">
    <mergeCell ref="A23:I23"/>
    <mergeCell ref="A25:I25"/>
    <mergeCell ref="A15:I15"/>
    <mergeCell ref="A9:I9"/>
    <mergeCell ref="A11:I11"/>
    <mergeCell ref="A19:I19"/>
    <mergeCell ref="A21:I21"/>
    <mergeCell ref="A13:I13"/>
    <mergeCell ref="A17:I17"/>
  </mergeCells>
  <printOptions horizontalCentered="1"/>
  <pageMargins left="0.59055118110236227" right="0.19685039370078741" top="0.98425196850393704" bottom="0.19685039370078741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21"/>
  </sheetPr>
  <dimension ref="A1:AF778"/>
  <sheetViews>
    <sheetView showGridLines="0" topLeftCell="A29" zoomScale="90" zoomScaleNormal="90" zoomScaleSheetLayoutView="25" workbookViewId="0">
      <selection activeCell="S211" sqref="S211"/>
    </sheetView>
  </sheetViews>
  <sheetFormatPr defaultColWidth="9" defaultRowHeight="21"/>
  <cols>
    <col min="1" max="1" width="12.375" style="110" customWidth="1"/>
    <col min="2" max="2" width="8.375" style="110" customWidth="1"/>
    <col min="3" max="3" width="8.375" style="189" customWidth="1"/>
    <col min="4" max="4" width="8.375" style="190" customWidth="1"/>
    <col min="5" max="6" width="8.375" style="143" customWidth="1"/>
    <col min="7" max="8" width="8.375" style="144" customWidth="1"/>
    <col min="9" max="9" width="10.625" style="90" customWidth="1"/>
    <col min="10" max="13" width="6.625" style="90" customWidth="1"/>
    <col min="14" max="17" width="6.375" style="90" customWidth="1"/>
    <col min="18" max="18" width="10" style="90" bestFit="1" customWidth="1"/>
    <col min="19" max="19" width="14.625" style="143" customWidth="1"/>
    <col min="20" max="20" width="11.625" style="143" hidden="1" customWidth="1"/>
    <col min="21" max="21" width="13.125" style="143" bestFit="1" customWidth="1"/>
    <col min="22" max="25" width="6.375" style="143" customWidth="1"/>
    <col min="26" max="26" width="10.125" style="143" bestFit="1" customWidth="1"/>
    <col min="27" max="27" width="8.625" style="145" bestFit="1" customWidth="1"/>
    <col min="28" max="28" width="9.375" style="145" bestFit="1" customWidth="1"/>
    <col min="29" max="29" width="10.25" style="88" bestFit="1" customWidth="1"/>
    <col min="30" max="30" width="9.625" style="89" bestFit="1" customWidth="1"/>
    <col min="31" max="31" width="6.75" style="89" bestFit="1" customWidth="1"/>
    <col min="32" max="32" width="6.25" style="89" bestFit="1" customWidth="1"/>
    <col min="33" max="16384" width="9" style="90"/>
  </cols>
  <sheetData>
    <row r="1" spans="1:32" s="79" customFormat="1">
      <c r="A1" s="76" t="s">
        <v>1283</v>
      </c>
      <c r="B1" s="77">
        <f>AC210/1000</f>
        <v>0.84</v>
      </c>
      <c r="C1" s="76" t="s">
        <v>181</v>
      </c>
      <c r="D1" s="76" t="s">
        <v>1284</v>
      </c>
      <c r="E1" s="76"/>
      <c r="F1" s="76"/>
      <c r="G1" s="76">
        <v>1</v>
      </c>
      <c r="H1" s="76" t="s">
        <v>1285</v>
      </c>
      <c r="I1" s="78">
        <v>2</v>
      </c>
      <c r="R1" s="80"/>
      <c r="S1" s="81"/>
      <c r="T1" s="81"/>
      <c r="U1" s="81"/>
      <c r="V1" s="81"/>
      <c r="W1" s="81"/>
      <c r="X1" s="81"/>
      <c r="Y1" s="81"/>
      <c r="Z1" s="81"/>
      <c r="AA1" s="81"/>
      <c r="AB1" s="81"/>
      <c r="AC1" s="82"/>
      <c r="AD1" s="83"/>
      <c r="AE1" s="83"/>
      <c r="AF1" s="83"/>
    </row>
    <row r="2" spans="1:32" s="79" customFormat="1">
      <c r="A2" s="76"/>
      <c r="B2" s="76"/>
      <c r="C2" s="84"/>
      <c r="D2" s="76" t="s">
        <v>1286</v>
      </c>
      <c r="E2" s="76"/>
      <c r="F2" s="76"/>
      <c r="G2" s="76"/>
      <c r="H2" s="76" t="s">
        <v>190</v>
      </c>
      <c r="I2" s="85">
        <v>0</v>
      </c>
      <c r="R2" s="80"/>
      <c r="S2" s="81"/>
      <c r="T2" s="81"/>
      <c r="U2" s="81"/>
      <c r="V2" s="81"/>
      <c r="W2" s="81"/>
      <c r="X2" s="81"/>
      <c r="Y2" s="81"/>
      <c r="Z2" s="81"/>
      <c r="AA2" s="81"/>
      <c r="AB2" s="81"/>
      <c r="AC2" s="82"/>
      <c r="AD2" s="83"/>
      <c r="AE2" s="83"/>
      <c r="AF2" s="83"/>
    </row>
    <row r="3" spans="1:32" s="79" customFormat="1">
      <c r="A3" s="76"/>
      <c r="B3" s="76"/>
      <c r="C3" s="76"/>
      <c r="D3" s="76" t="s">
        <v>1287</v>
      </c>
      <c r="E3" s="76"/>
      <c r="F3" s="76"/>
      <c r="G3" s="76"/>
      <c r="H3" s="76" t="s">
        <v>190</v>
      </c>
      <c r="I3" s="86">
        <v>0.2</v>
      </c>
      <c r="R3" s="80"/>
      <c r="S3" s="81"/>
      <c r="T3" s="81"/>
      <c r="U3" s="81"/>
      <c r="V3" s="81"/>
      <c r="W3" s="81"/>
      <c r="X3" s="81"/>
      <c r="Y3" s="81"/>
      <c r="Z3" s="81"/>
      <c r="AA3" s="81"/>
      <c r="AB3" s="81"/>
      <c r="AC3" s="82"/>
      <c r="AD3" s="83"/>
      <c r="AE3" s="83"/>
      <c r="AF3" s="83"/>
    </row>
    <row r="4" spans="1:32" s="79" customFormat="1">
      <c r="A4" s="76"/>
      <c r="B4" s="76"/>
      <c r="C4" s="76"/>
      <c r="D4" s="76" t="s">
        <v>1288</v>
      </c>
      <c r="E4" s="76"/>
      <c r="F4" s="76"/>
      <c r="G4" s="76"/>
      <c r="H4" s="76" t="s">
        <v>190</v>
      </c>
      <c r="I4" s="86">
        <v>0.15</v>
      </c>
      <c r="R4" s="80"/>
      <c r="S4" s="81"/>
      <c r="T4" s="81"/>
      <c r="U4" s="81"/>
      <c r="V4" s="81"/>
      <c r="W4" s="81"/>
      <c r="X4" s="81"/>
      <c r="Y4" s="81"/>
      <c r="Z4" s="81"/>
      <c r="AA4" s="81"/>
      <c r="AB4" s="81"/>
      <c r="AC4" s="82"/>
      <c r="AD4" s="83"/>
      <c r="AE4" s="83"/>
      <c r="AF4" s="83"/>
    </row>
    <row r="5" spans="1:32">
      <c r="A5" s="87" t="str">
        <f>'ปร.5 ท'!C6</f>
        <v>ตำบลควนขนุน อำเภอควนขนุน  จังหวัดพัทลุง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</row>
    <row r="6" spans="1:32" s="95" customFormat="1">
      <c r="A6" s="91" t="s">
        <v>1289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3"/>
      <c r="AC6" s="1514" t="s">
        <v>1290</v>
      </c>
      <c r="AD6" s="94"/>
      <c r="AE6" s="94"/>
      <c r="AF6" s="94"/>
    </row>
    <row r="7" spans="1:32" s="103" customFormat="1" ht="65.25" customHeight="1">
      <c r="A7" s="1515" t="s">
        <v>1291</v>
      </c>
      <c r="B7" s="96" t="s">
        <v>466</v>
      </c>
      <c r="C7" s="97" t="s">
        <v>1292</v>
      </c>
      <c r="D7" s="98" t="s">
        <v>1293</v>
      </c>
      <c r="E7" s="97" t="s">
        <v>1292</v>
      </c>
      <c r="F7" s="98" t="s">
        <v>1293</v>
      </c>
      <c r="G7" s="99" t="s">
        <v>1294</v>
      </c>
      <c r="H7" s="99" t="s">
        <v>1295</v>
      </c>
      <c r="I7" s="100" t="s">
        <v>1296</v>
      </c>
      <c r="J7" s="1517" t="s">
        <v>1297</v>
      </c>
      <c r="K7" s="1517"/>
      <c r="L7" s="1517"/>
      <c r="M7" s="1517"/>
      <c r="N7" s="1517" t="s">
        <v>232</v>
      </c>
      <c r="O7" s="1517"/>
      <c r="P7" s="1517"/>
      <c r="Q7" s="1517"/>
      <c r="R7" s="100" t="s">
        <v>1298</v>
      </c>
      <c r="S7" s="100" t="s">
        <v>1299</v>
      </c>
      <c r="T7" s="101" t="s">
        <v>642</v>
      </c>
      <c r="U7" s="101" t="s">
        <v>1300</v>
      </c>
      <c r="V7" s="1518" t="s">
        <v>1301</v>
      </c>
      <c r="W7" s="1519"/>
      <c r="X7" s="1519"/>
      <c r="Y7" s="1520"/>
      <c r="Z7" s="101" t="s">
        <v>1301</v>
      </c>
      <c r="AA7" s="101" t="s">
        <v>1302</v>
      </c>
      <c r="AB7" s="101" t="s">
        <v>1303</v>
      </c>
      <c r="AC7" s="1514"/>
      <c r="AD7" s="102"/>
      <c r="AE7" s="102"/>
      <c r="AF7" s="102"/>
    </row>
    <row r="8" spans="1:32" s="110" customFormat="1">
      <c r="A8" s="1516"/>
      <c r="B8" s="104" t="s">
        <v>744</v>
      </c>
      <c r="C8" s="105" t="s">
        <v>7</v>
      </c>
      <c r="D8" s="106" t="s">
        <v>7</v>
      </c>
      <c r="E8" s="104" t="s">
        <v>6</v>
      </c>
      <c r="F8" s="104" t="s">
        <v>6</v>
      </c>
      <c r="G8" s="107" t="s">
        <v>744</v>
      </c>
      <c r="H8" s="107" t="s">
        <v>1304</v>
      </c>
      <c r="I8" s="104" t="s">
        <v>744</v>
      </c>
      <c r="J8" s="104" t="s">
        <v>1305</v>
      </c>
      <c r="K8" s="104" t="s">
        <v>1306</v>
      </c>
      <c r="L8" s="104" t="s">
        <v>596</v>
      </c>
      <c r="M8" s="104" t="s">
        <v>1307</v>
      </c>
      <c r="N8" s="104" t="s">
        <v>1305</v>
      </c>
      <c r="O8" s="104" t="s">
        <v>1306</v>
      </c>
      <c r="P8" s="104" t="s">
        <v>596</v>
      </c>
      <c r="Q8" s="104" t="s">
        <v>1307</v>
      </c>
      <c r="R8" s="104" t="s">
        <v>7</v>
      </c>
      <c r="S8" s="104" t="s">
        <v>7</v>
      </c>
      <c r="T8" s="108" t="s">
        <v>6</v>
      </c>
      <c r="U8" s="104" t="s">
        <v>6</v>
      </c>
      <c r="V8" s="104" t="s">
        <v>1305</v>
      </c>
      <c r="W8" s="104" t="s">
        <v>1306</v>
      </c>
      <c r="X8" s="104" t="s">
        <v>596</v>
      </c>
      <c r="Y8" s="104" t="s">
        <v>1307</v>
      </c>
      <c r="Z8" s="104" t="s">
        <v>6</v>
      </c>
      <c r="AA8" s="104" t="s">
        <v>7</v>
      </c>
      <c r="AB8" s="104" t="s">
        <v>7</v>
      </c>
      <c r="AC8" s="1514"/>
      <c r="AD8" s="109"/>
      <c r="AE8" s="109"/>
      <c r="AF8" s="109"/>
    </row>
    <row r="9" spans="1:32">
      <c r="A9" s="111">
        <v>0</v>
      </c>
      <c r="B9" s="112">
        <v>25</v>
      </c>
      <c r="C9" s="113"/>
      <c r="D9" s="113"/>
      <c r="E9" s="114">
        <v>0</v>
      </c>
      <c r="F9" s="114">
        <v>0</v>
      </c>
      <c r="G9" s="115">
        <f>ปร.4_1!I5</f>
        <v>5</v>
      </c>
      <c r="H9" s="115">
        <f>ปร.4_1!I6</f>
        <v>0</v>
      </c>
      <c r="I9" s="116">
        <f t="shared" ref="I9:I27" si="0">+G9+2*H9</f>
        <v>5</v>
      </c>
      <c r="J9" s="116">
        <f t="shared" ref="J9:J16" si="1">IF(I9=0,0,I9+2*($I$3+I$4)/(1/$I$1))</f>
        <v>6.4</v>
      </c>
      <c r="K9" s="117">
        <f t="shared" ref="K9:K16" si="2">IF(I9=0,0,I9+2*($I$2+$I$3+$I$4)/(1/$I$1))</f>
        <v>6.4</v>
      </c>
      <c r="L9" s="116">
        <f t="shared" ref="L9:L27" si="3">(J9+K9)/2</f>
        <v>6.4</v>
      </c>
      <c r="M9" s="116">
        <f t="shared" ref="M9:M16" si="4">L9*$I$2</f>
        <v>0</v>
      </c>
      <c r="N9" s="116">
        <f t="shared" ref="N9:N16" si="5">IF(I9=0,0,I9+2*$I$4/(1/$I$1))</f>
        <v>5.6</v>
      </c>
      <c r="O9" s="117">
        <f t="shared" ref="O9:O16" si="6">IF(I9=0,0,I9+2*($I$3+$I$4)/(1/$I$1))</f>
        <v>6.4</v>
      </c>
      <c r="P9" s="116">
        <f t="shared" ref="P9:P27" si="7">+(N9+O9)/2</f>
        <v>6</v>
      </c>
      <c r="Q9" s="116">
        <f t="shared" ref="Q9:Q16" si="8">+P9*$I$3</f>
        <v>1.2000000000000002</v>
      </c>
      <c r="R9" s="118"/>
      <c r="S9" s="118"/>
      <c r="T9" s="119"/>
      <c r="U9" s="114">
        <v>0</v>
      </c>
      <c r="V9" s="120">
        <f t="shared" ref="V9:V27" si="9">+I9</f>
        <v>5</v>
      </c>
      <c r="W9" s="120">
        <f t="shared" ref="W9:W27" si="10">N9</f>
        <v>5.6</v>
      </c>
      <c r="X9" s="120">
        <f t="shared" ref="X9:X27" si="11">+(V9+W9)/2</f>
        <v>5.3</v>
      </c>
      <c r="Y9" s="120">
        <f t="shared" ref="Y9:Y16" si="12">+X9*$I$4</f>
        <v>0.79499999999999993</v>
      </c>
      <c r="Z9" s="114">
        <v>0</v>
      </c>
      <c r="AA9" s="114">
        <v>0</v>
      </c>
      <c r="AB9" s="114">
        <v>0</v>
      </c>
      <c r="AC9" s="121"/>
    </row>
    <row r="10" spans="1:32">
      <c r="A10" s="122">
        <f>A9+B10</f>
        <v>25</v>
      </c>
      <c r="B10" s="123">
        <f>B9</f>
        <v>25</v>
      </c>
      <c r="C10" s="113"/>
      <c r="D10" s="113"/>
      <c r="E10" s="124">
        <f t="shared" ref="E10:E27" si="13">(C9+C10)/2*B10</f>
        <v>0</v>
      </c>
      <c r="F10" s="124">
        <f t="shared" ref="F10:F27" si="14">+(D9+D10)/2*B10</f>
        <v>0</v>
      </c>
      <c r="G10" s="125">
        <f>G9</f>
        <v>5</v>
      </c>
      <c r="H10" s="125">
        <f>H9</f>
        <v>0</v>
      </c>
      <c r="I10" s="126">
        <f t="shared" si="0"/>
        <v>5</v>
      </c>
      <c r="J10" s="116">
        <f t="shared" si="1"/>
        <v>6.4</v>
      </c>
      <c r="K10" s="117">
        <f t="shared" si="2"/>
        <v>6.4</v>
      </c>
      <c r="L10" s="116">
        <f t="shared" si="3"/>
        <v>6.4</v>
      </c>
      <c r="M10" s="116">
        <f t="shared" si="4"/>
        <v>0</v>
      </c>
      <c r="N10" s="126">
        <f t="shared" si="5"/>
        <v>5.6</v>
      </c>
      <c r="O10" s="116">
        <f t="shared" si="6"/>
        <v>6.4</v>
      </c>
      <c r="P10" s="126">
        <f t="shared" si="7"/>
        <v>6</v>
      </c>
      <c r="Q10" s="126">
        <f t="shared" si="8"/>
        <v>1.2000000000000002</v>
      </c>
      <c r="R10" s="127">
        <f>(2*ปร.4_1!$W$12)*B10</f>
        <v>100</v>
      </c>
      <c r="S10" s="127">
        <f>ปร.4_1!$Z$13*Soil!B10</f>
        <v>125</v>
      </c>
      <c r="T10" s="128">
        <f t="shared" ref="T10:T27" si="15">IF(G10=0,0,(M10+M9)/2*B10)</f>
        <v>0</v>
      </c>
      <c r="U10" s="128">
        <f t="shared" ref="U10:U27" si="16">IF(G10=0,0,(Q10+Q9)/2*B10)</f>
        <v>30.000000000000004</v>
      </c>
      <c r="V10" s="128">
        <f t="shared" si="9"/>
        <v>5</v>
      </c>
      <c r="W10" s="128">
        <f t="shared" si="10"/>
        <v>5.6</v>
      </c>
      <c r="X10" s="128">
        <f t="shared" si="11"/>
        <v>5.3</v>
      </c>
      <c r="Y10" s="128">
        <f t="shared" si="12"/>
        <v>0.79499999999999993</v>
      </c>
      <c r="Z10" s="129">
        <f t="shared" ref="Z10:Z27" si="17">IF(G10=0,0,(Y10+Y9)/2*B10)</f>
        <v>19.875</v>
      </c>
      <c r="AA10" s="128">
        <f t="shared" ref="AA10:AA27" si="18">IF(G10=0,0,(G9+G10)/2*B10)</f>
        <v>125</v>
      </c>
      <c r="AB10" s="130">
        <f t="shared" ref="AB10:AB27" si="19">IF(G10=0,0,(2*H9+2*H10)/2*B10)</f>
        <v>0</v>
      </c>
      <c r="AC10" s="131">
        <f t="shared" ref="AC10:AC27" si="20">IF(G10&gt;0,B10,0)</f>
        <v>25</v>
      </c>
    </row>
    <row r="11" spans="1:32">
      <c r="A11" s="122">
        <f t="shared" ref="A11:A16" si="21">A10+B11</f>
        <v>50</v>
      </c>
      <c r="B11" s="123">
        <f>B10</f>
        <v>25</v>
      </c>
      <c r="C11" s="113"/>
      <c r="D11" s="113"/>
      <c r="E11" s="124">
        <f t="shared" si="13"/>
        <v>0</v>
      </c>
      <c r="F11" s="124">
        <f t="shared" si="14"/>
        <v>0</v>
      </c>
      <c r="G11" s="125">
        <f t="shared" ref="G11:H16" si="22">G10</f>
        <v>5</v>
      </c>
      <c r="H11" s="125">
        <f t="shared" si="22"/>
        <v>0</v>
      </c>
      <c r="I11" s="126">
        <f t="shared" si="0"/>
        <v>5</v>
      </c>
      <c r="J11" s="116">
        <f t="shared" si="1"/>
        <v>6.4</v>
      </c>
      <c r="K11" s="117">
        <f t="shared" si="2"/>
        <v>6.4</v>
      </c>
      <c r="L11" s="116">
        <f t="shared" si="3"/>
        <v>6.4</v>
      </c>
      <c r="M11" s="116">
        <f t="shared" si="4"/>
        <v>0</v>
      </c>
      <c r="N11" s="126">
        <f t="shared" si="5"/>
        <v>5.6</v>
      </c>
      <c r="O11" s="116">
        <f t="shared" si="6"/>
        <v>6.4</v>
      </c>
      <c r="P11" s="126">
        <f t="shared" si="7"/>
        <v>6</v>
      </c>
      <c r="Q11" s="126">
        <f t="shared" si="8"/>
        <v>1.2000000000000002</v>
      </c>
      <c r="R11" s="127">
        <f>(2*ปร.4_1!$W$12)*B11</f>
        <v>100</v>
      </c>
      <c r="S11" s="127">
        <f>ปร.4_1!$Z$13*Soil!B11</f>
        <v>125</v>
      </c>
      <c r="T11" s="128">
        <f t="shared" si="15"/>
        <v>0</v>
      </c>
      <c r="U11" s="128">
        <f t="shared" si="16"/>
        <v>30.000000000000004</v>
      </c>
      <c r="V11" s="128">
        <f t="shared" si="9"/>
        <v>5</v>
      </c>
      <c r="W11" s="128">
        <f t="shared" si="10"/>
        <v>5.6</v>
      </c>
      <c r="X11" s="128">
        <f t="shared" si="11"/>
        <v>5.3</v>
      </c>
      <c r="Y11" s="128">
        <f t="shared" si="12"/>
        <v>0.79499999999999993</v>
      </c>
      <c r="Z11" s="129">
        <f t="shared" si="17"/>
        <v>19.875</v>
      </c>
      <c r="AA11" s="128">
        <f t="shared" si="18"/>
        <v>125</v>
      </c>
      <c r="AB11" s="130">
        <f t="shared" si="19"/>
        <v>0</v>
      </c>
      <c r="AC11" s="131">
        <f t="shared" si="20"/>
        <v>25</v>
      </c>
    </row>
    <row r="12" spans="1:32">
      <c r="A12" s="122">
        <f t="shared" si="21"/>
        <v>75</v>
      </c>
      <c r="B12" s="123">
        <f>B11</f>
        <v>25</v>
      </c>
      <c r="C12" s="113"/>
      <c r="D12" s="113"/>
      <c r="E12" s="124">
        <f t="shared" si="13"/>
        <v>0</v>
      </c>
      <c r="F12" s="124">
        <f t="shared" si="14"/>
        <v>0</v>
      </c>
      <c r="G12" s="125">
        <f t="shared" si="22"/>
        <v>5</v>
      </c>
      <c r="H12" s="125">
        <f t="shared" si="22"/>
        <v>0</v>
      </c>
      <c r="I12" s="126">
        <f t="shared" si="0"/>
        <v>5</v>
      </c>
      <c r="J12" s="116">
        <f t="shared" si="1"/>
        <v>6.4</v>
      </c>
      <c r="K12" s="117">
        <f t="shared" si="2"/>
        <v>6.4</v>
      </c>
      <c r="L12" s="116">
        <f t="shared" si="3"/>
        <v>6.4</v>
      </c>
      <c r="M12" s="116">
        <f t="shared" si="4"/>
        <v>0</v>
      </c>
      <c r="N12" s="126">
        <f t="shared" si="5"/>
        <v>5.6</v>
      </c>
      <c r="O12" s="116">
        <f t="shared" si="6"/>
        <v>6.4</v>
      </c>
      <c r="P12" s="126">
        <f t="shared" si="7"/>
        <v>6</v>
      </c>
      <c r="Q12" s="126">
        <f t="shared" si="8"/>
        <v>1.2000000000000002</v>
      </c>
      <c r="R12" s="127">
        <f>(2*ปร.4_1!$W$12)*B12</f>
        <v>100</v>
      </c>
      <c r="S12" s="127">
        <f>ปร.4_1!$Z$13*Soil!B12</f>
        <v>125</v>
      </c>
      <c r="T12" s="128">
        <f t="shared" si="15"/>
        <v>0</v>
      </c>
      <c r="U12" s="128">
        <f t="shared" si="16"/>
        <v>30.000000000000004</v>
      </c>
      <c r="V12" s="128">
        <f t="shared" si="9"/>
        <v>5</v>
      </c>
      <c r="W12" s="128">
        <f t="shared" si="10"/>
        <v>5.6</v>
      </c>
      <c r="X12" s="128">
        <f t="shared" si="11"/>
        <v>5.3</v>
      </c>
      <c r="Y12" s="128">
        <f t="shared" si="12"/>
        <v>0.79499999999999993</v>
      </c>
      <c r="Z12" s="129">
        <f t="shared" si="17"/>
        <v>19.875</v>
      </c>
      <c r="AA12" s="128">
        <f t="shared" si="18"/>
        <v>125</v>
      </c>
      <c r="AB12" s="130">
        <f t="shared" si="19"/>
        <v>0</v>
      </c>
      <c r="AC12" s="131">
        <f t="shared" si="20"/>
        <v>25</v>
      </c>
    </row>
    <row r="13" spans="1:32">
      <c r="A13" s="122">
        <f t="shared" si="21"/>
        <v>100</v>
      </c>
      <c r="B13" s="123">
        <f t="shared" ref="B13:B38" si="23">B12</f>
        <v>25</v>
      </c>
      <c r="C13" s="113"/>
      <c r="D13" s="113"/>
      <c r="E13" s="124">
        <f t="shared" si="13"/>
        <v>0</v>
      </c>
      <c r="F13" s="124">
        <f t="shared" si="14"/>
        <v>0</v>
      </c>
      <c r="G13" s="125">
        <f t="shared" si="22"/>
        <v>5</v>
      </c>
      <c r="H13" s="125">
        <f t="shared" si="22"/>
        <v>0</v>
      </c>
      <c r="I13" s="126">
        <f t="shared" si="0"/>
        <v>5</v>
      </c>
      <c r="J13" s="116">
        <f t="shared" si="1"/>
        <v>6.4</v>
      </c>
      <c r="K13" s="117">
        <f t="shared" si="2"/>
        <v>6.4</v>
      </c>
      <c r="L13" s="116">
        <f t="shared" si="3"/>
        <v>6.4</v>
      </c>
      <c r="M13" s="116">
        <f t="shared" si="4"/>
        <v>0</v>
      </c>
      <c r="N13" s="126">
        <f t="shared" si="5"/>
        <v>5.6</v>
      </c>
      <c r="O13" s="116">
        <f t="shared" si="6"/>
        <v>6.4</v>
      </c>
      <c r="P13" s="126">
        <f t="shared" si="7"/>
        <v>6</v>
      </c>
      <c r="Q13" s="126">
        <f t="shared" si="8"/>
        <v>1.2000000000000002</v>
      </c>
      <c r="R13" s="127">
        <f>(2*ปร.4_1!$W$12)*B13</f>
        <v>100</v>
      </c>
      <c r="S13" s="127">
        <f>ปร.4_1!$Z$13*Soil!B13</f>
        <v>125</v>
      </c>
      <c r="T13" s="128">
        <f t="shared" si="15"/>
        <v>0</v>
      </c>
      <c r="U13" s="128">
        <f t="shared" si="16"/>
        <v>30.000000000000004</v>
      </c>
      <c r="V13" s="128">
        <f t="shared" si="9"/>
        <v>5</v>
      </c>
      <c r="W13" s="128">
        <f t="shared" si="10"/>
        <v>5.6</v>
      </c>
      <c r="X13" s="128">
        <f t="shared" si="11"/>
        <v>5.3</v>
      </c>
      <c r="Y13" s="128">
        <f t="shared" si="12"/>
        <v>0.79499999999999993</v>
      </c>
      <c r="Z13" s="129">
        <f t="shared" si="17"/>
        <v>19.875</v>
      </c>
      <c r="AA13" s="128">
        <f t="shared" si="18"/>
        <v>125</v>
      </c>
      <c r="AB13" s="130">
        <f t="shared" si="19"/>
        <v>0</v>
      </c>
      <c r="AC13" s="131">
        <f t="shared" si="20"/>
        <v>25</v>
      </c>
    </row>
    <row r="14" spans="1:32">
      <c r="A14" s="122">
        <f t="shared" si="21"/>
        <v>125</v>
      </c>
      <c r="B14" s="123">
        <f t="shared" si="23"/>
        <v>25</v>
      </c>
      <c r="C14" s="113"/>
      <c r="D14" s="113"/>
      <c r="E14" s="124">
        <f t="shared" si="13"/>
        <v>0</v>
      </c>
      <c r="F14" s="124">
        <f t="shared" si="14"/>
        <v>0</v>
      </c>
      <c r="G14" s="125">
        <f t="shared" si="22"/>
        <v>5</v>
      </c>
      <c r="H14" s="125">
        <f t="shared" si="22"/>
        <v>0</v>
      </c>
      <c r="I14" s="126">
        <f t="shared" si="0"/>
        <v>5</v>
      </c>
      <c r="J14" s="116">
        <f t="shared" si="1"/>
        <v>6.4</v>
      </c>
      <c r="K14" s="117">
        <f t="shared" si="2"/>
        <v>6.4</v>
      </c>
      <c r="L14" s="116">
        <f t="shared" si="3"/>
        <v>6.4</v>
      </c>
      <c r="M14" s="116">
        <f t="shared" si="4"/>
        <v>0</v>
      </c>
      <c r="N14" s="126">
        <f t="shared" si="5"/>
        <v>5.6</v>
      </c>
      <c r="O14" s="116">
        <f t="shared" si="6"/>
        <v>6.4</v>
      </c>
      <c r="P14" s="126">
        <f t="shared" si="7"/>
        <v>6</v>
      </c>
      <c r="Q14" s="126">
        <f t="shared" si="8"/>
        <v>1.2000000000000002</v>
      </c>
      <c r="R14" s="127">
        <f>(2*ปร.4_1!$W$12)*B14</f>
        <v>100</v>
      </c>
      <c r="S14" s="127">
        <f>ปร.4_1!$Z$13*Soil!B14</f>
        <v>125</v>
      </c>
      <c r="T14" s="128">
        <f t="shared" si="15"/>
        <v>0</v>
      </c>
      <c r="U14" s="128">
        <f t="shared" si="16"/>
        <v>30.000000000000004</v>
      </c>
      <c r="V14" s="128">
        <f t="shared" si="9"/>
        <v>5</v>
      </c>
      <c r="W14" s="128">
        <f t="shared" si="10"/>
        <v>5.6</v>
      </c>
      <c r="X14" s="128">
        <f t="shared" si="11"/>
        <v>5.3</v>
      </c>
      <c r="Y14" s="128">
        <f t="shared" si="12"/>
        <v>0.79499999999999993</v>
      </c>
      <c r="Z14" s="129">
        <f t="shared" si="17"/>
        <v>19.875</v>
      </c>
      <c r="AA14" s="128">
        <f t="shared" si="18"/>
        <v>125</v>
      </c>
      <c r="AB14" s="130">
        <f t="shared" si="19"/>
        <v>0</v>
      </c>
      <c r="AC14" s="131">
        <f t="shared" si="20"/>
        <v>25</v>
      </c>
    </row>
    <row r="15" spans="1:32">
      <c r="A15" s="122">
        <f t="shared" si="21"/>
        <v>150</v>
      </c>
      <c r="B15" s="123">
        <f t="shared" si="23"/>
        <v>25</v>
      </c>
      <c r="C15" s="113"/>
      <c r="D15" s="113"/>
      <c r="E15" s="124">
        <f t="shared" si="13"/>
        <v>0</v>
      </c>
      <c r="F15" s="124">
        <f t="shared" si="14"/>
        <v>0</v>
      </c>
      <c r="G15" s="125">
        <f t="shared" si="22"/>
        <v>5</v>
      </c>
      <c r="H15" s="125">
        <f t="shared" si="22"/>
        <v>0</v>
      </c>
      <c r="I15" s="126">
        <f t="shared" si="0"/>
        <v>5</v>
      </c>
      <c r="J15" s="116">
        <f t="shared" si="1"/>
        <v>6.4</v>
      </c>
      <c r="K15" s="117">
        <f t="shared" si="2"/>
        <v>6.4</v>
      </c>
      <c r="L15" s="116">
        <f t="shared" si="3"/>
        <v>6.4</v>
      </c>
      <c r="M15" s="116">
        <f t="shared" si="4"/>
        <v>0</v>
      </c>
      <c r="N15" s="126">
        <f t="shared" si="5"/>
        <v>5.6</v>
      </c>
      <c r="O15" s="116">
        <f t="shared" si="6"/>
        <v>6.4</v>
      </c>
      <c r="P15" s="126">
        <f t="shared" si="7"/>
        <v>6</v>
      </c>
      <c r="Q15" s="126">
        <f t="shared" si="8"/>
        <v>1.2000000000000002</v>
      </c>
      <c r="R15" s="127">
        <f>(2*ปร.4_1!$W$12)*B15</f>
        <v>100</v>
      </c>
      <c r="S15" s="127">
        <f>ปร.4_1!$Z$13*Soil!B15</f>
        <v>125</v>
      </c>
      <c r="T15" s="128">
        <f t="shared" si="15"/>
        <v>0</v>
      </c>
      <c r="U15" s="128">
        <f t="shared" si="16"/>
        <v>30.000000000000004</v>
      </c>
      <c r="V15" s="128">
        <f t="shared" si="9"/>
        <v>5</v>
      </c>
      <c r="W15" s="128">
        <f t="shared" si="10"/>
        <v>5.6</v>
      </c>
      <c r="X15" s="128">
        <f t="shared" si="11"/>
        <v>5.3</v>
      </c>
      <c r="Y15" s="128">
        <f t="shared" si="12"/>
        <v>0.79499999999999993</v>
      </c>
      <c r="Z15" s="129">
        <f t="shared" si="17"/>
        <v>19.875</v>
      </c>
      <c r="AA15" s="128">
        <f t="shared" si="18"/>
        <v>125</v>
      </c>
      <c r="AB15" s="130">
        <f t="shared" si="19"/>
        <v>0</v>
      </c>
      <c r="AC15" s="131">
        <f t="shared" si="20"/>
        <v>25</v>
      </c>
    </row>
    <row r="16" spans="1:32">
      <c r="A16" s="122">
        <f t="shared" si="21"/>
        <v>175</v>
      </c>
      <c r="B16" s="123">
        <f t="shared" si="23"/>
        <v>25</v>
      </c>
      <c r="C16" s="113"/>
      <c r="D16" s="113"/>
      <c r="E16" s="124">
        <f t="shared" si="13"/>
        <v>0</v>
      </c>
      <c r="F16" s="124">
        <f t="shared" si="14"/>
        <v>0</v>
      </c>
      <c r="G16" s="125">
        <f t="shared" si="22"/>
        <v>5</v>
      </c>
      <c r="H16" s="125">
        <f t="shared" si="22"/>
        <v>0</v>
      </c>
      <c r="I16" s="126">
        <f t="shared" si="0"/>
        <v>5</v>
      </c>
      <c r="J16" s="116">
        <f t="shared" si="1"/>
        <v>6.4</v>
      </c>
      <c r="K16" s="117">
        <f t="shared" si="2"/>
        <v>6.4</v>
      </c>
      <c r="L16" s="116">
        <f t="shared" si="3"/>
        <v>6.4</v>
      </c>
      <c r="M16" s="116">
        <f t="shared" si="4"/>
        <v>0</v>
      </c>
      <c r="N16" s="126">
        <f t="shared" si="5"/>
        <v>5.6</v>
      </c>
      <c r="O16" s="116">
        <f t="shared" si="6"/>
        <v>6.4</v>
      </c>
      <c r="P16" s="126">
        <f t="shared" si="7"/>
        <v>6</v>
      </c>
      <c r="Q16" s="126">
        <f t="shared" si="8"/>
        <v>1.2000000000000002</v>
      </c>
      <c r="R16" s="127">
        <f>(2*ปร.4_1!$W$12)*B16</f>
        <v>100</v>
      </c>
      <c r="S16" s="127">
        <f>ปร.4_1!$Z$13*Soil!B16</f>
        <v>125</v>
      </c>
      <c r="T16" s="128">
        <f t="shared" si="15"/>
        <v>0</v>
      </c>
      <c r="U16" s="128">
        <f t="shared" si="16"/>
        <v>30.000000000000004</v>
      </c>
      <c r="V16" s="128">
        <f t="shared" si="9"/>
        <v>5</v>
      </c>
      <c r="W16" s="128">
        <f t="shared" si="10"/>
        <v>5.6</v>
      </c>
      <c r="X16" s="128">
        <f t="shared" si="11"/>
        <v>5.3</v>
      </c>
      <c r="Y16" s="128">
        <f t="shared" si="12"/>
        <v>0.79499999999999993</v>
      </c>
      <c r="Z16" s="129">
        <f t="shared" si="17"/>
        <v>19.875</v>
      </c>
      <c r="AA16" s="128">
        <f t="shared" si="18"/>
        <v>125</v>
      </c>
      <c r="AB16" s="130">
        <f t="shared" si="19"/>
        <v>0</v>
      </c>
      <c r="AC16" s="131">
        <f t="shared" si="20"/>
        <v>25</v>
      </c>
    </row>
    <row r="17" spans="1:29">
      <c r="A17" s="122">
        <f t="shared" ref="A17:A27" si="24">A16+B17</f>
        <v>200</v>
      </c>
      <c r="B17" s="123">
        <f t="shared" si="23"/>
        <v>25</v>
      </c>
      <c r="C17" s="113"/>
      <c r="D17" s="113"/>
      <c r="E17" s="124">
        <f t="shared" si="13"/>
        <v>0</v>
      </c>
      <c r="F17" s="124">
        <f t="shared" si="14"/>
        <v>0</v>
      </c>
      <c r="G17" s="125">
        <f t="shared" ref="G17:G48" si="25">G16</f>
        <v>5</v>
      </c>
      <c r="H17" s="125">
        <f t="shared" ref="H17:H48" si="26">H16</f>
        <v>0</v>
      </c>
      <c r="I17" s="126">
        <f t="shared" si="0"/>
        <v>5</v>
      </c>
      <c r="J17" s="116">
        <f t="shared" ref="J17:J27" si="27">IF(I17=0,0,I17+2*($I$3+I$4)/(1/$I$1))</f>
        <v>6.4</v>
      </c>
      <c r="K17" s="117">
        <f t="shared" ref="K17:K27" si="28">IF(I17=0,0,I17+2*($I$2+$I$3+$I$4)/(1/$I$1))</f>
        <v>6.4</v>
      </c>
      <c r="L17" s="116">
        <f t="shared" si="3"/>
        <v>6.4</v>
      </c>
      <c r="M17" s="116">
        <f t="shared" ref="M17:M27" si="29">L17*$I$2</f>
        <v>0</v>
      </c>
      <c r="N17" s="126">
        <f t="shared" ref="N17:N27" si="30">IF(I17=0,0,I17+2*$I$4/(1/$I$1))</f>
        <v>5.6</v>
      </c>
      <c r="O17" s="116">
        <f t="shared" ref="O17:O27" si="31">IF(I17=0,0,I17+2*($I$3+$I$4)/(1/$I$1))</f>
        <v>6.4</v>
      </c>
      <c r="P17" s="126">
        <f t="shared" si="7"/>
        <v>6</v>
      </c>
      <c r="Q17" s="126">
        <f t="shared" ref="Q17:Q27" si="32">+P17*$I$3</f>
        <v>1.2000000000000002</v>
      </c>
      <c r="R17" s="127">
        <f>(2*ปร.4_1!$W$12)*B17</f>
        <v>100</v>
      </c>
      <c r="S17" s="127">
        <f>ปร.4_1!$Z$13*Soil!B17</f>
        <v>125</v>
      </c>
      <c r="T17" s="128">
        <f t="shared" si="15"/>
        <v>0</v>
      </c>
      <c r="U17" s="128">
        <f t="shared" si="16"/>
        <v>30.000000000000004</v>
      </c>
      <c r="V17" s="128">
        <f t="shared" si="9"/>
        <v>5</v>
      </c>
      <c r="W17" s="128">
        <f t="shared" si="10"/>
        <v>5.6</v>
      </c>
      <c r="X17" s="128">
        <f t="shared" si="11"/>
        <v>5.3</v>
      </c>
      <c r="Y17" s="128">
        <f t="shared" ref="Y17:Y27" si="33">+X17*$I$4</f>
        <v>0.79499999999999993</v>
      </c>
      <c r="Z17" s="129">
        <f t="shared" si="17"/>
        <v>19.875</v>
      </c>
      <c r="AA17" s="128">
        <f t="shared" si="18"/>
        <v>125</v>
      </c>
      <c r="AB17" s="130">
        <f t="shared" si="19"/>
        <v>0</v>
      </c>
      <c r="AC17" s="131">
        <f t="shared" si="20"/>
        <v>25</v>
      </c>
    </row>
    <row r="18" spans="1:29">
      <c r="A18" s="122">
        <f t="shared" si="24"/>
        <v>225</v>
      </c>
      <c r="B18" s="123">
        <f t="shared" si="23"/>
        <v>25</v>
      </c>
      <c r="C18" s="113"/>
      <c r="D18" s="113"/>
      <c r="E18" s="124">
        <f t="shared" si="13"/>
        <v>0</v>
      </c>
      <c r="F18" s="124">
        <f t="shared" si="14"/>
        <v>0</v>
      </c>
      <c r="G18" s="125">
        <f t="shared" si="25"/>
        <v>5</v>
      </c>
      <c r="H18" s="125">
        <f t="shared" si="26"/>
        <v>0</v>
      </c>
      <c r="I18" s="126">
        <f t="shared" si="0"/>
        <v>5</v>
      </c>
      <c r="J18" s="116">
        <f t="shared" si="27"/>
        <v>6.4</v>
      </c>
      <c r="K18" s="117">
        <f t="shared" si="28"/>
        <v>6.4</v>
      </c>
      <c r="L18" s="116">
        <f t="shared" si="3"/>
        <v>6.4</v>
      </c>
      <c r="M18" s="116">
        <f t="shared" si="29"/>
        <v>0</v>
      </c>
      <c r="N18" s="126">
        <f t="shared" si="30"/>
        <v>5.6</v>
      </c>
      <c r="O18" s="116">
        <f t="shared" si="31"/>
        <v>6.4</v>
      </c>
      <c r="P18" s="126">
        <f t="shared" si="7"/>
        <v>6</v>
      </c>
      <c r="Q18" s="126">
        <f t="shared" si="32"/>
        <v>1.2000000000000002</v>
      </c>
      <c r="R18" s="127">
        <f>(2*ปร.4_1!$W$12)*B18</f>
        <v>100</v>
      </c>
      <c r="S18" s="127">
        <f>ปร.4_1!$Z$13*Soil!B18</f>
        <v>125</v>
      </c>
      <c r="T18" s="128">
        <f t="shared" si="15"/>
        <v>0</v>
      </c>
      <c r="U18" s="128">
        <f t="shared" si="16"/>
        <v>30.000000000000004</v>
      </c>
      <c r="V18" s="128">
        <f t="shared" si="9"/>
        <v>5</v>
      </c>
      <c r="W18" s="128">
        <f t="shared" si="10"/>
        <v>5.6</v>
      </c>
      <c r="X18" s="128">
        <f t="shared" si="11"/>
        <v>5.3</v>
      </c>
      <c r="Y18" s="128">
        <f t="shared" si="33"/>
        <v>0.79499999999999993</v>
      </c>
      <c r="Z18" s="129">
        <f t="shared" si="17"/>
        <v>19.875</v>
      </c>
      <c r="AA18" s="128">
        <f t="shared" si="18"/>
        <v>125</v>
      </c>
      <c r="AB18" s="130">
        <f t="shared" si="19"/>
        <v>0</v>
      </c>
      <c r="AC18" s="131">
        <f t="shared" si="20"/>
        <v>25</v>
      </c>
    </row>
    <row r="19" spans="1:29">
      <c r="A19" s="122">
        <f t="shared" si="24"/>
        <v>250</v>
      </c>
      <c r="B19" s="123">
        <f t="shared" si="23"/>
        <v>25</v>
      </c>
      <c r="C19" s="113"/>
      <c r="D19" s="113"/>
      <c r="E19" s="124">
        <f t="shared" si="13"/>
        <v>0</v>
      </c>
      <c r="F19" s="124">
        <f t="shared" si="14"/>
        <v>0</v>
      </c>
      <c r="G19" s="125">
        <f t="shared" si="25"/>
        <v>5</v>
      </c>
      <c r="H19" s="125">
        <f t="shared" si="26"/>
        <v>0</v>
      </c>
      <c r="I19" s="126">
        <f t="shared" si="0"/>
        <v>5</v>
      </c>
      <c r="J19" s="116">
        <f t="shared" si="27"/>
        <v>6.4</v>
      </c>
      <c r="K19" s="117">
        <f t="shared" si="28"/>
        <v>6.4</v>
      </c>
      <c r="L19" s="116">
        <f t="shared" si="3"/>
        <v>6.4</v>
      </c>
      <c r="M19" s="116">
        <f t="shared" si="29"/>
        <v>0</v>
      </c>
      <c r="N19" s="126">
        <f t="shared" si="30"/>
        <v>5.6</v>
      </c>
      <c r="O19" s="116">
        <f t="shared" si="31"/>
        <v>6.4</v>
      </c>
      <c r="P19" s="126">
        <f t="shared" si="7"/>
        <v>6</v>
      </c>
      <c r="Q19" s="126">
        <f t="shared" si="32"/>
        <v>1.2000000000000002</v>
      </c>
      <c r="R19" s="127">
        <f>(2*ปร.4_1!$W$12)*B19</f>
        <v>100</v>
      </c>
      <c r="S19" s="127">
        <f>ปร.4_1!$Z$13*Soil!B19</f>
        <v>125</v>
      </c>
      <c r="T19" s="128">
        <f t="shared" si="15"/>
        <v>0</v>
      </c>
      <c r="U19" s="128">
        <f t="shared" si="16"/>
        <v>30.000000000000004</v>
      </c>
      <c r="V19" s="128">
        <f t="shared" si="9"/>
        <v>5</v>
      </c>
      <c r="W19" s="128">
        <f t="shared" si="10"/>
        <v>5.6</v>
      </c>
      <c r="X19" s="128">
        <f t="shared" si="11"/>
        <v>5.3</v>
      </c>
      <c r="Y19" s="128">
        <f t="shared" si="33"/>
        <v>0.79499999999999993</v>
      </c>
      <c r="Z19" s="129">
        <f t="shared" si="17"/>
        <v>19.875</v>
      </c>
      <c r="AA19" s="128">
        <f t="shared" si="18"/>
        <v>125</v>
      </c>
      <c r="AB19" s="130">
        <f t="shared" si="19"/>
        <v>0</v>
      </c>
      <c r="AC19" s="131">
        <f t="shared" si="20"/>
        <v>25</v>
      </c>
    </row>
    <row r="20" spans="1:29">
      <c r="A20" s="122">
        <f t="shared" si="24"/>
        <v>275</v>
      </c>
      <c r="B20" s="123">
        <f t="shared" si="23"/>
        <v>25</v>
      </c>
      <c r="C20" s="113"/>
      <c r="D20" s="113"/>
      <c r="E20" s="124">
        <f t="shared" si="13"/>
        <v>0</v>
      </c>
      <c r="F20" s="124">
        <f t="shared" si="14"/>
        <v>0</v>
      </c>
      <c r="G20" s="125">
        <f t="shared" si="25"/>
        <v>5</v>
      </c>
      <c r="H20" s="125">
        <f t="shared" si="26"/>
        <v>0</v>
      </c>
      <c r="I20" s="126">
        <f t="shared" si="0"/>
        <v>5</v>
      </c>
      <c r="J20" s="116">
        <f t="shared" si="27"/>
        <v>6.4</v>
      </c>
      <c r="K20" s="117">
        <f t="shared" si="28"/>
        <v>6.4</v>
      </c>
      <c r="L20" s="116">
        <f t="shared" si="3"/>
        <v>6.4</v>
      </c>
      <c r="M20" s="116">
        <f t="shared" si="29"/>
        <v>0</v>
      </c>
      <c r="N20" s="126">
        <f t="shared" si="30"/>
        <v>5.6</v>
      </c>
      <c r="O20" s="116">
        <f t="shared" si="31"/>
        <v>6.4</v>
      </c>
      <c r="P20" s="126">
        <f t="shared" si="7"/>
        <v>6</v>
      </c>
      <c r="Q20" s="126">
        <f t="shared" si="32"/>
        <v>1.2000000000000002</v>
      </c>
      <c r="R20" s="127">
        <f>(2*ปร.4_1!$W$12)*B20</f>
        <v>100</v>
      </c>
      <c r="S20" s="127">
        <f>ปร.4_1!$Z$13*Soil!B20</f>
        <v>125</v>
      </c>
      <c r="T20" s="128">
        <f t="shared" si="15"/>
        <v>0</v>
      </c>
      <c r="U20" s="128">
        <f t="shared" si="16"/>
        <v>30.000000000000004</v>
      </c>
      <c r="V20" s="128">
        <f t="shared" si="9"/>
        <v>5</v>
      </c>
      <c r="W20" s="128">
        <f t="shared" si="10"/>
        <v>5.6</v>
      </c>
      <c r="X20" s="128">
        <f t="shared" si="11"/>
        <v>5.3</v>
      </c>
      <c r="Y20" s="128">
        <f t="shared" si="33"/>
        <v>0.79499999999999993</v>
      </c>
      <c r="Z20" s="129">
        <f t="shared" si="17"/>
        <v>19.875</v>
      </c>
      <c r="AA20" s="128">
        <f t="shared" si="18"/>
        <v>125</v>
      </c>
      <c r="AB20" s="130">
        <f t="shared" si="19"/>
        <v>0</v>
      </c>
      <c r="AC20" s="131">
        <f t="shared" si="20"/>
        <v>25</v>
      </c>
    </row>
    <row r="21" spans="1:29">
      <c r="A21" s="122">
        <f t="shared" si="24"/>
        <v>300</v>
      </c>
      <c r="B21" s="123">
        <f t="shared" si="23"/>
        <v>25</v>
      </c>
      <c r="C21" s="113"/>
      <c r="D21" s="113"/>
      <c r="E21" s="124">
        <f t="shared" si="13"/>
        <v>0</v>
      </c>
      <c r="F21" s="124">
        <f t="shared" si="14"/>
        <v>0</v>
      </c>
      <c r="G21" s="125">
        <f t="shared" si="25"/>
        <v>5</v>
      </c>
      <c r="H21" s="125">
        <f t="shared" si="26"/>
        <v>0</v>
      </c>
      <c r="I21" s="126">
        <f t="shared" si="0"/>
        <v>5</v>
      </c>
      <c r="J21" s="116">
        <f t="shared" si="27"/>
        <v>6.4</v>
      </c>
      <c r="K21" s="117">
        <f t="shared" si="28"/>
        <v>6.4</v>
      </c>
      <c r="L21" s="116">
        <f t="shared" si="3"/>
        <v>6.4</v>
      </c>
      <c r="M21" s="116">
        <f t="shared" si="29"/>
        <v>0</v>
      </c>
      <c r="N21" s="126">
        <f t="shared" si="30"/>
        <v>5.6</v>
      </c>
      <c r="O21" s="116">
        <f t="shared" si="31"/>
        <v>6.4</v>
      </c>
      <c r="P21" s="126">
        <f t="shared" si="7"/>
        <v>6</v>
      </c>
      <c r="Q21" s="126">
        <f t="shared" si="32"/>
        <v>1.2000000000000002</v>
      </c>
      <c r="R21" s="127">
        <f>(2*ปร.4_1!$W$12)*B21</f>
        <v>100</v>
      </c>
      <c r="S21" s="127">
        <f>ปร.4_1!$Z$13*Soil!B21</f>
        <v>125</v>
      </c>
      <c r="T21" s="128">
        <f t="shared" si="15"/>
        <v>0</v>
      </c>
      <c r="U21" s="128">
        <f t="shared" si="16"/>
        <v>30.000000000000004</v>
      </c>
      <c r="V21" s="128">
        <f t="shared" si="9"/>
        <v>5</v>
      </c>
      <c r="W21" s="128">
        <f t="shared" si="10"/>
        <v>5.6</v>
      </c>
      <c r="X21" s="128">
        <f t="shared" si="11"/>
        <v>5.3</v>
      </c>
      <c r="Y21" s="128">
        <f t="shared" si="33"/>
        <v>0.79499999999999993</v>
      </c>
      <c r="Z21" s="129">
        <f t="shared" si="17"/>
        <v>19.875</v>
      </c>
      <c r="AA21" s="128">
        <f t="shared" si="18"/>
        <v>125</v>
      </c>
      <c r="AB21" s="130">
        <f t="shared" si="19"/>
        <v>0</v>
      </c>
      <c r="AC21" s="131">
        <f t="shared" si="20"/>
        <v>25</v>
      </c>
    </row>
    <row r="22" spans="1:29">
      <c r="A22" s="122">
        <f t="shared" si="24"/>
        <v>325</v>
      </c>
      <c r="B22" s="123">
        <f t="shared" si="23"/>
        <v>25</v>
      </c>
      <c r="C22" s="113"/>
      <c r="D22" s="113"/>
      <c r="E22" s="124">
        <f t="shared" si="13"/>
        <v>0</v>
      </c>
      <c r="F22" s="124">
        <f t="shared" si="14"/>
        <v>0</v>
      </c>
      <c r="G22" s="125">
        <f t="shared" si="25"/>
        <v>5</v>
      </c>
      <c r="H22" s="125">
        <f t="shared" si="26"/>
        <v>0</v>
      </c>
      <c r="I22" s="126">
        <f t="shared" si="0"/>
        <v>5</v>
      </c>
      <c r="J22" s="116">
        <f t="shared" si="27"/>
        <v>6.4</v>
      </c>
      <c r="K22" s="117">
        <f t="shared" si="28"/>
        <v>6.4</v>
      </c>
      <c r="L22" s="116">
        <f t="shared" si="3"/>
        <v>6.4</v>
      </c>
      <c r="M22" s="116">
        <f t="shared" si="29"/>
        <v>0</v>
      </c>
      <c r="N22" s="126">
        <f t="shared" si="30"/>
        <v>5.6</v>
      </c>
      <c r="O22" s="116">
        <f t="shared" si="31"/>
        <v>6.4</v>
      </c>
      <c r="P22" s="126">
        <f t="shared" si="7"/>
        <v>6</v>
      </c>
      <c r="Q22" s="126">
        <f t="shared" si="32"/>
        <v>1.2000000000000002</v>
      </c>
      <c r="R22" s="127">
        <f>(2*ปร.4_1!$W$12)*B22</f>
        <v>100</v>
      </c>
      <c r="S22" s="127">
        <f>ปร.4_1!$Z$13*Soil!B22</f>
        <v>125</v>
      </c>
      <c r="T22" s="128">
        <f t="shared" si="15"/>
        <v>0</v>
      </c>
      <c r="U22" s="128">
        <f t="shared" si="16"/>
        <v>30.000000000000004</v>
      </c>
      <c r="V22" s="128">
        <f t="shared" si="9"/>
        <v>5</v>
      </c>
      <c r="W22" s="128">
        <f t="shared" si="10"/>
        <v>5.6</v>
      </c>
      <c r="X22" s="128">
        <f t="shared" si="11"/>
        <v>5.3</v>
      </c>
      <c r="Y22" s="128">
        <f t="shared" si="33"/>
        <v>0.79499999999999993</v>
      </c>
      <c r="Z22" s="129">
        <f t="shared" si="17"/>
        <v>19.875</v>
      </c>
      <c r="AA22" s="128">
        <f t="shared" si="18"/>
        <v>125</v>
      </c>
      <c r="AB22" s="130">
        <f t="shared" si="19"/>
        <v>0</v>
      </c>
      <c r="AC22" s="131">
        <f t="shared" si="20"/>
        <v>25</v>
      </c>
    </row>
    <row r="23" spans="1:29">
      <c r="A23" s="122">
        <f t="shared" si="24"/>
        <v>350</v>
      </c>
      <c r="B23" s="123">
        <v>25</v>
      </c>
      <c r="C23" s="113"/>
      <c r="D23" s="113"/>
      <c r="E23" s="124">
        <f t="shared" si="13"/>
        <v>0</v>
      </c>
      <c r="F23" s="124">
        <f t="shared" si="14"/>
        <v>0</v>
      </c>
      <c r="G23" s="125">
        <f t="shared" si="25"/>
        <v>5</v>
      </c>
      <c r="H23" s="125">
        <f t="shared" si="26"/>
        <v>0</v>
      </c>
      <c r="I23" s="126">
        <f t="shared" si="0"/>
        <v>5</v>
      </c>
      <c r="J23" s="116">
        <f t="shared" si="27"/>
        <v>6.4</v>
      </c>
      <c r="K23" s="117">
        <f t="shared" si="28"/>
        <v>6.4</v>
      </c>
      <c r="L23" s="116">
        <f t="shared" si="3"/>
        <v>6.4</v>
      </c>
      <c r="M23" s="116">
        <f t="shared" si="29"/>
        <v>0</v>
      </c>
      <c r="N23" s="126">
        <f t="shared" si="30"/>
        <v>5.6</v>
      </c>
      <c r="O23" s="116">
        <f t="shared" si="31"/>
        <v>6.4</v>
      </c>
      <c r="P23" s="126">
        <f t="shared" si="7"/>
        <v>6</v>
      </c>
      <c r="Q23" s="126">
        <f t="shared" si="32"/>
        <v>1.2000000000000002</v>
      </c>
      <c r="R23" s="127">
        <f>(2*ปร.4_1!$W$12)*B23</f>
        <v>100</v>
      </c>
      <c r="S23" s="127">
        <f>ปร.4_1!$Z$13*Soil!B23</f>
        <v>125</v>
      </c>
      <c r="T23" s="128">
        <f t="shared" si="15"/>
        <v>0</v>
      </c>
      <c r="U23" s="128">
        <f t="shared" si="16"/>
        <v>30.000000000000004</v>
      </c>
      <c r="V23" s="128">
        <f t="shared" si="9"/>
        <v>5</v>
      </c>
      <c r="W23" s="128">
        <f t="shared" si="10"/>
        <v>5.6</v>
      </c>
      <c r="X23" s="128">
        <f t="shared" si="11"/>
        <v>5.3</v>
      </c>
      <c r="Y23" s="128">
        <f t="shared" si="33"/>
        <v>0.79499999999999993</v>
      </c>
      <c r="Z23" s="129">
        <f t="shared" si="17"/>
        <v>19.875</v>
      </c>
      <c r="AA23" s="128">
        <f t="shared" si="18"/>
        <v>125</v>
      </c>
      <c r="AB23" s="130">
        <f t="shared" si="19"/>
        <v>0</v>
      </c>
      <c r="AC23" s="131">
        <f t="shared" si="20"/>
        <v>25</v>
      </c>
    </row>
    <row r="24" spans="1:29">
      <c r="A24" s="122">
        <f t="shared" si="24"/>
        <v>375</v>
      </c>
      <c r="B24" s="123">
        <v>25</v>
      </c>
      <c r="C24" s="113"/>
      <c r="D24" s="113"/>
      <c r="E24" s="124">
        <f t="shared" si="13"/>
        <v>0</v>
      </c>
      <c r="F24" s="124">
        <f t="shared" si="14"/>
        <v>0</v>
      </c>
      <c r="G24" s="125">
        <f t="shared" si="25"/>
        <v>5</v>
      </c>
      <c r="H24" s="125">
        <f t="shared" si="26"/>
        <v>0</v>
      </c>
      <c r="I24" s="126">
        <f t="shared" si="0"/>
        <v>5</v>
      </c>
      <c r="J24" s="116">
        <f t="shared" si="27"/>
        <v>6.4</v>
      </c>
      <c r="K24" s="117">
        <f t="shared" si="28"/>
        <v>6.4</v>
      </c>
      <c r="L24" s="116">
        <f t="shared" si="3"/>
        <v>6.4</v>
      </c>
      <c r="M24" s="116">
        <f t="shared" si="29"/>
        <v>0</v>
      </c>
      <c r="N24" s="126">
        <f t="shared" si="30"/>
        <v>5.6</v>
      </c>
      <c r="O24" s="116">
        <f t="shared" si="31"/>
        <v>6.4</v>
      </c>
      <c r="P24" s="126">
        <f t="shared" si="7"/>
        <v>6</v>
      </c>
      <c r="Q24" s="126">
        <f t="shared" si="32"/>
        <v>1.2000000000000002</v>
      </c>
      <c r="R24" s="127">
        <f>(2*ปร.4_1!$W$12)*B24</f>
        <v>100</v>
      </c>
      <c r="S24" s="127">
        <f>ปร.4_1!$Z$13*Soil!B24</f>
        <v>125</v>
      </c>
      <c r="T24" s="128">
        <f t="shared" si="15"/>
        <v>0</v>
      </c>
      <c r="U24" s="128">
        <f t="shared" si="16"/>
        <v>30.000000000000004</v>
      </c>
      <c r="V24" s="128">
        <f t="shared" si="9"/>
        <v>5</v>
      </c>
      <c r="W24" s="128">
        <f t="shared" si="10"/>
        <v>5.6</v>
      </c>
      <c r="X24" s="128">
        <f t="shared" si="11"/>
        <v>5.3</v>
      </c>
      <c r="Y24" s="128">
        <f t="shared" si="33"/>
        <v>0.79499999999999993</v>
      </c>
      <c r="Z24" s="129">
        <f t="shared" si="17"/>
        <v>19.875</v>
      </c>
      <c r="AA24" s="128">
        <f t="shared" si="18"/>
        <v>125</v>
      </c>
      <c r="AB24" s="130">
        <f t="shared" si="19"/>
        <v>0</v>
      </c>
      <c r="AC24" s="131">
        <f t="shared" si="20"/>
        <v>25</v>
      </c>
    </row>
    <row r="25" spans="1:29">
      <c r="A25" s="122">
        <f t="shared" si="24"/>
        <v>400</v>
      </c>
      <c r="B25" s="123">
        <f t="shared" si="23"/>
        <v>25</v>
      </c>
      <c r="C25" s="113"/>
      <c r="D25" s="113"/>
      <c r="E25" s="124">
        <f t="shared" si="13"/>
        <v>0</v>
      </c>
      <c r="F25" s="124">
        <f t="shared" si="14"/>
        <v>0</v>
      </c>
      <c r="G25" s="125">
        <f t="shared" si="25"/>
        <v>5</v>
      </c>
      <c r="H25" s="125">
        <f t="shared" si="26"/>
        <v>0</v>
      </c>
      <c r="I25" s="126">
        <f t="shared" si="0"/>
        <v>5</v>
      </c>
      <c r="J25" s="116">
        <f t="shared" si="27"/>
        <v>6.4</v>
      </c>
      <c r="K25" s="117">
        <f t="shared" si="28"/>
        <v>6.4</v>
      </c>
      <c r="L25" s="116">
        <f t="shared" si="3"/>
        <v>6.4</v>
      </c>
      <c r="M25" s="116">
        <f t="shared" si="29"/>
        <v>0</v>
      </c>
      <c r="N25" s="126">
        <f t="shared" si="30"/>
        <v>5.6</v>
      </c>
      <c r="O25" s="116">
        <f t="shared" si="31"/>
        <v>6.4</v>
      </c>
      <c r="P25" s="126">
        <f t="shared" si="7"/>
        <v>6</v>
      </c>
      <c r="Q25" s="126">
        <f t="shared" si="32"/>
        <v>1.2000000000000002</v>
      </c>
      <c r="R25" s="127">
        <f>(2*ปร.4_1!$W$12)*B25</f>
        <v>100</v>
      </c>
      <c r="S25" s="127">
        <f>ปร.4_1!$Z$13*Soil!B25</f>
        <v>125</v>
      </c>
      <c r="T25" s="128">
        <f t="shared" si="15"/>
        <v>0</v>
      </c>
      <c r="U25" s="128">
        <f t="shared" si="16"/>
        <v>30.000000000000004</v>
      </c>
      <c r="V25" s="128">
        <f t="shared" si="9"/>
        <v>5</v>
      </c>
      <c r="W25" s="128">
        <f t="shared" si="10"/>
        <v>5.6</v>
      </c>
      <c r="X25" s="128">
        <f t="shared" si="11"/>
        <v>5.3</v>
      </c>
      <c r="Y25" s="128">
        <f t="shared" si="33"/>
        <v>0.79499999999999993</v>
      </c>
      <c r="Z25" s="129">
        <f t="shared" si="17"/>
        <v>19.875</v>
      </c>
      <c r="AA25" s="128">
        <f t="shared" si="18"/>
        <v>125</v>
      </c>
      <c r="AB25" s="130">
        <f t="shared" si="19"/>
        <v>0</v>
      </c>
      <c r="AC25" s="131">
        <f t="shared" si="20"/>
        <v>25</v>
      </c>
    </row>
    <row r="26" spans="1:29">
      <c r="A26" s="122">
        <f t="shared" si="24"/>
        <v>425</v>
      </c>
      <c r="B26" s="123">
        <f t="shared" si="23"/>
        <v>25</v>
      </c>
      <c r="C26" s="113"/>
      <c r="D26" s="113"/>
      <c r="E26" s="124">
        <f t="shared" si="13"/>
        <v>0</v>
      </c>
      <c r="F26" s="124">
        <f t="shared" si="14"/>
        <v>0</v>
      </c>
      <c r="G26" s="125">
        <f t="shared" si="25"/>
        <v>5</v>
      </c>
      <c r="H26" s="125">
        <f t="shared" si="26"/>
        <v>0</v>
      </c>
      <c r="I26" s="126">
        <f t="shared" si="0"/>
        <v>5</v>
      </c>
      <c r="J26" s="116">
        <f t="shared" si="27"/>
        <v>6.4</v>
      </c>
      <c r="K26" s="117">
        <f t="shared" si="28"/>
        <v>6.4</v>
      </c>
      <c r="L26" s="116">
        <f t="shared" si="3"/>
        <v>6.4</v>
      </c>
      <c r="M26" s="116">
        <f t="shared" si="29"/>
        <v>0</v>
      </c>
      <c r="N26" s="126">
        <f t="shared" si="30"/>
        <v>5.6</v>
      </c>
      <c r="O26" s="116">
        <f t="shared" si="31"/>
        <v>6.4</v>
      </c>
      <c r="P26" s="126">
        <f t="shared" si="7"/>
        <v>6</v>
      </c>
      <c r="Q26" s="126">
        <f t="shared" si="32"/>
        <v>1.2000000000000002</v>
      </c>
      <c r="R26" s="127">
        <f>(2*ปร.4_1!$W$12)*B26</f>
        <v>100</v>
      </c>
      <c r="S26" s="127">
        <f>ปร.4_1!$Z$13*Soil!B26</f>
        <v>125</v>
      </c>
      <c r="T26" s="128">
        <f t="shared" si="15"/>
        <v>0</v>
      </c>
      <c r="U26" s="128">
        <f t="shared" si="16"/>
        <v>30.000000000000004</v>
      </c>
      <c r="V26" s="128">
        <f t="shared" si="9"/>
        <v>5</v>
      </c>
      <c r="W26" s="128">
        <f t="shared" si="10"/>
        <v>5.6</v>
      </c>
      <c r="X26" s="128">
        <f t="shared" si="11"/>
        <v>5.3</v>
      </c>
      <c r="Y26" s="128">
        <f t="shared" si="33"/>
        <v>0.79499999999999993</v>
      </c>
      <c r="Z26" s="129">
        <f t="shared" si="17"/>
        <v>19.875</v>
      </c>
      <c r="AA26" s="128">
        <f t="shared" si="18"/>
        <v>125</v>
      </c>
      <c r="AB26" s="130">
        <f t="shared" si="19"/>
        <v>0</v>
      </c>
      <c r="AC26" s="131">
        <f t="shared" si="20"/>
        <v>25</v>
      </c>
    </row>
    <row r="27" spans="1:29">
      <c r="A27" s="122">
        <f t="shared" si="24"/>
        <v>450</v>
      </c>
      <c r="B27" s="123">
        <f t="shared" si="23"/>
        <v>25</v>
      </c>
      <c r="C27" s="113"/>
      <c r="D27" s="113"/>
      <c r="E27" s="124">
        <f t="shared" si="13"/>
        <v>0</v>
      </c>
      <c r="F27" s="124">
        <f t="shared" si="14"/>
        <v>0</v>
      </c>
      <c r="G27" s="125">
        <f t="shared" si="25"/>
        <v>5</v>
      </c>
      <c r="H27" s="125">
        <f t="shared" si="26"/>
        <v>0</v>
      </c>
      <c r="I27" s="126">
        <f t="shared" si="0"/>
        <v>5</v>
      </c>
      <c r="J27" s="116">
        <f t="shared" si="27"/>
        <v>6.4</v>
      </c>
      <c r="K27" s="117">
        <f t="shared" si="28"/>
        <v>6.4</v>
      </c>
      <c r="L27" s="116">
        <f t="shared" si="3"/>
        <v>6.4</v>
      </c>
      <c r="M27" s="116">
        <f t="shared" si="29"/>
        <v>0</v>
      </c>
      <c r="N27" s="126">
        <f t="shared" si="30"/>
        <v>5.6</v>
      </c>
      <c r="O27" s="116">
        <f t="shared" si="31"/>
        <v>6.4</v>
      </c>
      <c r="P27" s="126">
        <f t="shared" si="7"/>
        <v>6</v>
      </c>
      <c r="Q27" s="126">
        <f t="shared" si="32"/>
        <v>1.2000000000000002</v>
      </c>
      <c r="R27" s="127">
        <f>(2*ปร.4_1!$W$12)*B27</f>
        <v>100</v>
      </c>
      <c r="S27" s="127">
        <f>ปร.4_1!$Z$13*Soil!B27</f>
        <v>125</v>
      </c>
      <c r="T27" s="128">
        <f t="shared" si="15"/>
        <v>0</v>
      </c>
      <c r="U27" s="128">
        <f t="shared" si="16"/>
        <v>30.000000000000004</v>
      </c>
      <c r="V27" s="128">
        <f t="shared" si="9"/>
        <v>5</v>
      </c>
      <c r="W27" s="128">
        <f t="shared" si="10"/>
        <v>5.6</v>
      </c>
      <c r="X27" s="128">
        <f t="shared" si="11"/>
        <v>5.3</v>
      </c>
      <c r="Y27" s="128">
        <f t="shared" si="33"/>
        <v>0.79499999999999993</v>
      </c>
      <c r="Z27" s="129">
        <f t="shared" si="17"/>
        <v>19.875</v>
      </c>
      <c r="AA27" s="128">
        <f t="shared" si="18"/>
        <v>125</v>
      </c>
      <c r="AB27" s="130">
        <f t="shared" si="19"/>
        <v>0</v>
      </c>
      <c r="AC27" s="131">
        <f t="shared" si="20"/>
        <v>25</v>
      </c>
    </row>
    <row r="28" spans="1:29">
      <c r="A28" s="122">
        <f t="shared" ref="A28:A91" si="34">A27+B28</f>
        <v>475</v>
      </c>
      <c r="B28" s="123">
        <f t="shared" si="23"/>
        <v>25</v>
      </c>
      <c r="C28" s="113"/>
      <c r="D28" s="113"/>
      <c r="E28" s="124">
        <f t="shared" ref="E28:E91" si="35">(C27+C28)/2*B28</f>
        <v>0</v>
      </c>
      <c r="F28" s="124">
        <f t="shared" ref="F28:F91" si="36">+(D27+D28)/2*B28</f>
        <v>0</v>
      </c>
      <c r="G28" s="125">
        <f t="shared" si="25"/>
        <v>5</v>
      </c>
      <c r="H28" s="125">
        <f t="shared" si="26"/>
        <v>0</v>
      </c>
      <c r="I28" s="126">
        <f t="shared" ref="I28:I91" si="37">+G28+2*H28</f>
        <v>5</v>
      </c>
      <c r="J28" s="116">
        <f t="shared" ref="J28:J91" si="38">IF(I28=0,0,I28+2*($I$3+I$4)/(1/$I$1))</f>
        <v>6.4</v>
      </c>
      <c r="K28" s="117">
        <f t="shared" ref="K28:K91" si="39">IF(I28=0,0,I28+2*($I$2+$I$3+$I$4)/(1/$I$1))</f>
        <v>6.4</v>
      </c>
      <c r="L28" s="116">
        <f t="shared" ref="L28:L91" si="40">(J28+K28)/2</f>
        <v>6.4</v>
      </c>
      <c r="M28" s="116">
        <f t="shared" ref="M28:M91" si="41">L28*$I$2</f>
        <v>0</v>
      </c>
      <c r="N28" s="126">
        <f t="shared" ref="N28:N91" si="42">IF(I28=0,0,I28+2*$I$4/(1/$I$1))</f>
        <v>5.6</v>
      </c>
      <c r="O28" s="116">
        <f t="shared" ref="O28:O91" si="43">IF(I28=0,0,I28+2*($I$3+$I$4)/(1/$I$1))</f>
        <v>6.4</v>
      </c>
      <c r="P28" s="126">
        <f t="shared" ref="P28:P91" si="44">+(N28+O28)/2</f>
        <v>6</v>
      </c>
      <c r="Q28" s="126">
        <f t="shared" ref="Q28:Q91" si="45">+P28*$I$3</f>
        <v>1.2000000000000002</v>
      </c>
      <c r="R28" s="127">
        <f>(2*ปร.4_1!$W$12)*B28</f>
        <v>100</v>
      </c>
      <c r="S28" s="127">
        <f>ปร.4_1!$Z$13*Soil!B28</f>
        <v>125</v>
      </c>
      <c r="T28" s="128">
        <f t="shared" ref="T28:T91" si="46">IF(G28=0,0,(M28+M27)/2*B28)</f>
        <v>0</v>
      </c>
      <c r="U28" s="128">
        <f t="shared" ref="U28:U91" si="47">IF(G28=0,0,(Q28+Q27)/2*B28)</f>
        <v>30.000000000000004</v>
      </c>
      <c r="V28" s="128">
        <f t="shared" ref="V28:V91" si="48">+I28</f>
        <v>5</v>
      </c>
      <c r="W28" s="128">
        <f t="shared" ref="W28:W91" si="49">N28</f>
        <v>5.6</v>
      </c>
      <c r="X28" s="128">
        <f t="shared" ref="X28:X91" si="50">+(V28+W28)/2</f>
        <v>5.3</v>
      </c>
      <c r="Y28" s="128">
        <f t="shared" ref="Y28:Y91" si="51">+X28*$I$4</f>
        <v>0.79499999999999993</v>
      </c>
      <c r="Z28" s="129">
        <f t="shared" ref="Z28:Z91" si="52">IF(G28=0,0,(Y28+Y27)/2*B28)</f>
        <v>19.875</v>
      </c>
      <c r="AA28" s="128">
        <f t="shared" ref="AA28:AA91" si="53">IF(G28=0,0,(G27+G28)/2*B28)</f>
        <v>125</v>
      </c>
      <c r="AB28" s="130">
        <f t="shared" ref="AB28:AB91" si="54">IF(G28=0,0,(2*H27+2*H28)/2*B28)</f>
        <v>0</v>
      </c>
      <c r="AC28" s="131">
        <f t="shared" ref="AC28:AC91" si="55">IF(G28&gt;0,B28,0)</f>
        <v>25</v>
      </c>
    </row>
    <row r="29" spans="1:29">
      <c r="A29" s="122">
        <f t="shared" si="34"/>
        <v>500</v>
      </c>
      <c r="B29" s="123">
        <f t="shared" si="23"/>
        <v>25</v>
      </c>
      <c r="C29" s="113"/>
      <c r="D29" s="113"/>
      <c r="E29" s="124">
        <f t="shared" si="35"/>
        <v>0</v>
      </c>
      <c r="F29" s="124">
        <f t="shared" si="36"/>
        <v>0</v>
      </c>
      <c r="G29" s="125">
        <f t="shared" si="25"/>
        <v>5</v>
      </c>
      <c r="H29" s="125">
        <f t="shared" si="26"/>
        <v>0</v>
      </c>
      <c r="I29" s="126">
        <f t="shared" si="37"/>
        <v>5</v>
      </c>
      <c r="J29" s="116">
        <f t="shared" si="38"/>
        <v>6.4</v>
      </c>
      <c r="K29" s="117">
        <f t="shared" si="39"/>
        <v>6.4</v>
      </c>
      <c r="L29" s="116">
        <f t="shared" si="40"/>
        <v>6.4</v>
      </c>
      <c r="M29" s="116">
        <f t="shared" si="41"/>
        <v>0</v>
      </c>
      <c r="N29" s="126">
        <f t="shared" si="42"/>
        <v>5.6</v>
      </c>
      <c r="O29" s="116">
        <f t="shared" si="43"/>
        <v>6.4</v>
      </c>
      <c r="P29" s="126">
        <f t="shared" si="44"/>
        <v>6</v>
      </c>
      <c r="Q29" s="126">
        <f t="shared" si="45"/>
        <v>1.2000000000000002</v>
      </c>
      <c r="R29" s="127">
        <f>(2*ปร.4_1!$W$12)*B29</f>
        <v>100</v>
      </c>
      <c r="S29" s="127">
        <f>ปร.4_1!$Z$13*Soil!B29</f>
        <v>125</v>
      </c>
      <c r="T29" s="128">
        <f t="shared" si="46"/>
        <v>0</v>
      </c>
      <c r="U29" s="128">
        <f t="shared" si="47"/>
        <v>30.000000000000004</v>
      </c>
      <c r="V29" s="128">
        <f t="shared" si="48"/>
        <v>5</v>
      </c>
      <c r="W29" s="128">
        <f t="shared" si="49"/>
        <v>5.6</v>
      </c>
      <c r="X29" s="128">
        <f t="shared" si="50"/>
        <v>5.3</v>
      </c>
      <c r="Y29" s="128">
        <f t="shared" si="51"/>
        <v>0.79499999999999993</v>
      </c>
      <c r="Z29" s="129">
        <f t="shared" si="52"/>
        <v>19.875</v>
      </c>
      <c r="AA29" s="128">
        <f t="shared" si="53"/>
        <v>125</v>
      </c>
      <c r="AB29" s="130">
        <f t="shared" si="54"/>
        <v>0</v>
      </c>
      <c r="AC29" s="131">
        <f t="shared" si="55"/>
        <v>25</v>
      </c>
    </row>
    <row r="30" spans="1:29">
      <c r="A30" s="122">
        <f t="shared" si="34"/>
        <v>525</v>
      </c>
      <c r="B30" s="123">
        <f t="shared" si="23"/>
        <v>25</v>
      </c>
      <c r="C30" s="113"/>
      <c r="D30" s="113"/>
      <c r="E30" s="124">
        <f t="shared" si="35"/>
        <v>0</v>
      </c>
      <c r="F30" s="124">
        <f t="shared" si="36"/>
        <v>0</v>
      </c>
      <c r="G30" s="125">
        <f t="shared" si="25"/>
        <v>5</v>
      </c>
      <c r="H30" s="125">
        <f t="shared" si="26"/>
        <v>0</v>
      </c>
      <c r="I30" s="126">
        <f t="shared" si="37"/>
        <v>5</v>
      </c>
      <c r="J30" s="116">
        <f t="shared" si="38"/>
        <v>6.4</v>
      </c>
      <c r="K30" s="117">
        <f t="shared" si="39"/>
        <v>6.4</v>
      </c>
      <c r="L30" s="116">
        <f t="shared" si="40"/>
        <v>6.4</v>
      </c>
      <c r="M30" s="116">
        <f t="shared" si="41"/>
        <v>0</v>
      </c>
      <c r="N30" s="126">
        <f t="shared" si="42"/>
        <v>5.6</v>
      </c>
      <c r="O30" s="116">
        <f t="shared" si="43"/>
        <v>6.4</v>
      </c>
      <c r="P30" s="126">
        <f t="shared" si="44"/>
        <v>6</v>
      </c>
      <c r="Q30" s="126">
        <f t="shared" si="45"/>
        <v>1.2000000000000002</v>
      </c>
      <c r="R30" s="127">
        <f>(2*ปร.4_1!$W$12)*B30</f>
        <v>100</v>
      </c>
      <c r="S30" s="127">
        <f>ปร.4_1!$Z$13*Soil!B30</f>
        <v>125</v>
      </c>
      <c r="T30" s="128">
        <f t="shared" si="46"/>
        <v>0</v>
      </c>
      <c r="U30" s="128">
        <f t="shared" si="47"/>
        <v>30.000000000000004</v>
      </c>
      <c r="V30" s="128">
        <f t="shared" si="48"/>
        <v>5</v>
      </c>
      <c r="W30" s="128">
        <f t="shared" si="49"/>
        <v>5.6</v>
      </c>
      <c r="X30" s="128">
        <f t="shared" si="50"/>
        <v>5.3</v>
      </c>
      <c r="Y30" s="128">
        <f t="shared" si="51"/>
        <v>0.79499999999999993</v>
      </c>
      <c r="Z30" s="129">
        <f t="shared" si="52"/>
        <v>19.875</v>
      </c>
      <c r="AA30" s="128">
        <f t="shared" si="53"/>
        <v>125</v>
      </c>
      <c r="AB30" s="130">
        <f t="shared" si="54"/>
        <v>0</v>
      </c>
      <c r="AC30" s="131">
        <f t="shared" si="55"/>
        <v>25</v>
      </c>
    </row>
    <row r="31" spans="1:29">
      <c r="A31" s="122">
        <f t="shared" si="34"/>
        <v>550</v>
      </c>
      <c r="B31" s="123">
        <f t="shared" si="23"/>
        <v>25</v>
      </c>
      <c r="C31" s="113"/>
      <c r="D31" s="113"/>
      <c r="E31" s="124">
        <f t="shared" si="35"/>
        <v>0</v>
      </c>
      <c r="F31" s="124">
        <f t="shared" si="36"/>
        <v>0</v>
      </c>
      <c r="G31" s="125">
        <f t="shared" si="25"/>
        <v>5</v>
      </c>
      <c r="H31" s="125">
        <f t="shared" si="26"/>
        <v>0</v>
      </c>
      <c r="I31" s="126">
        <f t="shared" si="37"/>
        <v>5</v>
      </c>
      <c r="J31" s="116">
        <f t="shared" si="38"/>
        <v>6.4</v>
      </c>
      <c r="K31" s="117">
        <f t="shared" si="39"/>
        <v>6.4</v>
      </c>
      <c r="L31" s="116">
        <f t="shared" si="40"/>
        <v>6.4</v>
      </c>
      <c r="M31" s="116">
        <f t="shared" si="41"/>
        <v>0</v>
      </c>
      <c r="N31" s="126">
        <f t="shared" si="42"/>
        <v>5.6</v>
      </c>
      <c r="O31" s="116">
        <f t="shared" si="43"/>
        <v>6.4</v>
      </c>
      <c r="P31" s="126">
        <f t="shared" si="44"/>
        <v>6</v>
      </c>
      <c r="Q31" s="126">
        <f t="shared" si="45"/>
        <v>1.2000000000000002</v>
      </c>
      <c r="R31" s="127">
        <f>(2*ปร.4_1!$W$12)*B31</f>
        <v>100</v>
      </c>
      <c r="S31" s="127">
        <f>ปร.4_1!$Z$13*Soil!B31</f>
        <v>125</v>
      </c>
      <c r="T31" s="128">
        <f t="shared" si="46"/>
        <v>0</v>
      </c>
      <c r="U31" s="128">
        <f t="shared" si="47"/>
        <v>30.000000000000004</v>
      </c>
      <c r="V31" s="128">
        <f t="shared" si="48"/>
        <v>5</v>
      </c>
      <c r="W31" s="128">
        <f t="shared" si="49"/>
        <v>5.6</v>
      </c>
      <c r="X31" s="128">
        <f t="shared" si="50"/>
        <v>5.3</v>
      </c>
      <c r="Y31" s="128">
        <f t="shared" si="51"/>
        <v>0.79499999999999993</v>
      </c>
      <c r="Z31" s="129">
        <f t="shared" si="52"/>
        <v>19.875</v>
      </c>
      <c r="AA31" s="128">
        <f t="shared" si="53"/>
        <v>125</v>
      </c>
      <c r="AB31" s="130">
        <f t="shared" si="54"/>
        <v>0</v>
      </c>
      <c r="AC31" s="131">
        <f t="shared" si="55"/>
        <v>25</v>
      </c>
    </row>
    <row r="32" spans="1:29">
      <c r="A32" s="122">
        <f t="shared" si="34"/>
        <v>575</v>
      </c>
      <c r="B32" s="123">
        <f t="shared" si="23"/>
        <v>25</v>
      </c>
      <c r="C32" s="113"/>
      <c r="D32" s="113"/>
      <c r="E32" s="124">
        <f t="shared" si="35"/>
        <v>0</v>
      </c>
      <c r="F32" s="124">
        <f t="shared" si="36"/>
        <v>0</v>
      </c>
      <c r="G32" s="125">
        <f t="shared" si="25"/>
        <v>5</v>
      </c>
      <c r="H32" s="125">
        <f t="shared" si="26"/>
        <v>0</v>
      </c>
      <c r="I32" s="126">
        <f t="shared" si="37"/>
        <v>5</v>
      </c>
      <c r="J32" s="116">
        <f t="shared" si="38"/>
        <v>6.4</v>
      </c>
      <c r="K32" s="117">
        <f t="shared" si="39"/>
        <v>6.4</v>
      </c>
      <c r="L32" s="116">
        <f t="shared" si="40"/>
        <v>6.4</v>
      </c>
      <c r="M32" s="116">
        <f t="shared" si="41"/>
        <v>0</v>
      </c>
      <c r="N32" s="126">
        <f t="shared" si="42"/>
        <v>5.6</v>
      </c>
      <c r="O32" s="116">
        <f t="shared" si="43"/>
        <v>6.4</v>
      </c>
      <c r="P32" s="126">
        <f t="shared" si="44"/>
        <v>6</v>
      </c>
      <c r="Q32" s="126">
        <f t="shared" si="45"/>
        <v>1.2000000000000002</v>
      </c>
      <c r="R32" s="127">
        <f>(2*ปร.4_1!$W$12)*B32</f>
        <v>100</v>
      </c>
      <c r="S32" s="127">
        <f>ปร.4_1!$Z$13*Soil!B32</f>
        <v>125</v>
      </c>
      <c r="T32" s="128">
        <f t="shared" si="46"/>
        <v>0</v>
      </c>
      <c r="U32" s="128">
        <f t="shared" si="47"/>
        <v>30.000000000000004</v>
      </c>
      <c r="V32" s="128">
        <f t="shared" si="48"/>
        <v>5</v>
      </c>
      <c r="W32" s="128">
        <f t="shared" si="49"/>
        <v>5.6</v>
      </c>
      <c r="X32" s="128">
        <f t="shared" si="50"/>
        <v>5.3</v>
      </c>
      <c r="Y32" s="128">
        <f t="shared" si="51"/>
        <v>0.79499999999999993</v>
      </c>
      <c r="Z32" s="129">
        <f t="shared" si="52"/>
        <v>19.875</v>
      </c>
      <c r="AA32" s="128">
        <f t="shared" si="53"/>
        <v>125</v>
      </c>
      <c r="AB32" s="130">
        <f t="shared" si="54"/>
        <v>0</v>
      </c>
      <c r="AC32" s="131">
        <f t="shared" si="55"/>
        <v>25</v>
      </c>
    </row>
    <row r="33" spans="1:29">
      <c r="A33" s="122">
        <f t="shared" si="34"/>
        <v>600</v>
      </c>
      <c r="B33" s="123">
        <f t="shared" si="23"/>
        <v>25</v>
      </c>
      <c r="C33" s="113"/>
      <c r="D33" s="113"/>
      <c r="E33" s="124">
        <f t="shared" si="35"/>
        <v>0</v>
      </c>
      <c r="F33" s="124">
        <f t="shared" si="36"/>
        <v>0</v>
      </c>
      <c r="G33" s="125">
        <f t="shared" si="25"/>
        <v>5</v>
      </c>
      <c r="H33" s="125">
        <f t="shared" si="26"/>
        <v>0</v>
      </c>
      <c r="I33" s="126">
        <f t="shared" si="37"/>
        <v>5</v>
      </c>
      <c r="J33" s="116">
        <f t="shared" si="38"/>
        <v>6.4</v>
      </c>
      <c r="K33" s="117">
        <f t="shared" si="39"/>
        <v>6.4</v>
      </c>
      <c r="L33" s="116">
        <f t="shared" si="40"/>
        <v>6.4</v>
      </c>
      <c r="M33" s="116">
        <f t="shared" si="41"/>
        <v>0</v>
      </c>
      <c r="N33" s="126">
        <f t="shared" si="42"/>
        <v>5.6</v>
      </c>
      <c r="O33" s="116">
        <f t="shared" si="43"/>
        <v>6.4</v>
      </c>
      <c r="P33" s="126">
        <f t="shared" si="44"/>
        <v>6</v>
      </c>
      <c r="Q33" s="126">
        <f t="shared" si="45"/>
        <v>1.2000000000000002</v>
      </c>
      <c r="R33" s="127">
        <f>(2*ปร.4_1!$W$12)*B33</f>
        <v>100</v>
      </c>
      <c r="S33" s="127">
        <f>ปร.4_1!$Z$13*Soil!B33</f>
        <v>125</v>
      </c>
      <c r="T33" s="128">
        <f t="shared" si="46"/>
        <v>0</v>
      </c>
      <c r="U33" s="128">
        <f t="shared" si="47"/>
        <v>30.000000000000004</v>
      </c>
      <c r="V33" s="128">
        <f t="shared" si="48"/>
        <v>5</v>
      </c>
      <c r="W33" s="128">
        <f t="shared" si="49"/>
        <v>5.6</v>
      </c>
      <c r="X33" s="128">
        <f t="shared" si="50"/>
        <v>5.3</v>
      </c>
      <c r="Y33" s="128">
        <f t="shared" si="51"/>
        <v>0.79499999999999993</v>
      </c>
      <c r="Z33" s="129">
        <f t="shared" si="52"/>
        <v>19.875</v>
      </c>
      <c r="AA33" s="128">
        <f t="shared" si="53"/>
        <v>125</v>
      </c>
      <c r="AB33" s="130">
        <f t="shared" si="54"/>
        <v>0</v>
      </c>
      <c r="AC33" s="131">
        <f t="shared" si="55"/>
        <v>25</v>
      </c>
    </row>
    <row r="34" spans="1:29">
      <c r="A34" s="122">
        <f t="shared" si="34"/>
        <v>625</v>
      </c>
      <c r="B34" s="123">
        <f t="shared" si="23"/>
        <v>25</v>
      </c>
      <c r="C34" s="113"/>
      <c r="D34" s="113"/>
      <c r="E34" s="124">
        <f t="shared" si="35"/>
        <v>0</v>
      </c>
      <c r="F34" s="124">
        <f t="shared" si="36"/>
        <v>0</v>
      </c>
      <c r="G34" s="125">
        <f t="shared" si="25"/>
        <v>5</v>
      </c>
      <c r="H34" s="125">
        <f t="shared" si="26"/>
        <v>0</v>
      </c>
      <c r="I34" s="126">
        <f t="shared" si="37"/>
        <v>5</v>
      </c>
      <c r="J34" s="116">
        <f t="shared" si="38"/>
        <v>6.4</v>
      </c>
      <c r="K34" s="117">
        <f t="shared" si="39"/>
        <v>6.4</v>
      </c>
      <c r="L34" s="116">
        <f t="shared" si="40"/>
        <v>6.4</v>
      </c>
      <c r="M34" s="116">
        <f t="shared" si="41"/>
        <v>0</v>
      </c>
      <c r="N34" s="126">
        <f t="shared" si="42"/>
        <v>5.6</v>
      </c>
      <c r="O34" s="116">
        <f t="shared" si="43"/>
        <v>6.4</v>
      </c>
      <c r="P34" s="126">
        <f t="shared" si="44"/>
        <v>6</v>
      </c>
      <c r="Q34" s="126">
        <f t="shared" si="45"/>
        <v>1.2000000000000002</v>
      </c>
      <c r="R34" s="127">
        <f>(2*ปร.4_1!$W$12)*B34</f>
        <v>100</v>
      </c>
      <c r="S34" s="127">
        <f>ปร.4_1!$Z$13*Soil!B34</f>
        <v>125</v>
      </c>
      <c r="T34" s="128">
        <f t="shared" si="46"/>
        <v>0</v>
      </c>
      <c r="U34" s="128">
        <f t="shared" si="47"/>
        <v>30.000000000000004</v>
      </c>
      <c r="V34" s="128">
        <f t="shared" si="48"/>
        <v>5</v>
      </c>
      <c r="W34" s="128">
        <f t="shared" si="49"/>
        <v>5.6</v>
      </c>
      <c r="X34" s="128">
        <f t="shared" si="50"/>
        <v>5.3</v>
      </c>
      <c r="Y34" s="128">
        <f t="shared" si="51"/>
        <v>0.79499999999999993</v>
      </c>
      <c r="Z34" s="129">
        <f t="shared" si="52"/>
        <v>19.875</v>
      </c>
      <c r="AA34" s="128">
        <f t="shared" si="53"/>
        <v>125</v>
      </c>
      <c r="AB34" s="130">
        <f t="shared" si="54"/>
        <v>0</v>
      </c>
      <c r="AC34" s="131">
        <f t="shared" si="55"/>
        <v>25</v>
      </c>
    </row>
    <row r="35" spans="1:29">
      <c r="A35" s="122">
        <f t="shared" si="34"/>
        <v>650</v>
      </c>
      <c r="B35" s="123">
        <f t="shared" si="23"/>
        <v>25</v>
      </c>
      <c r="C35" s="113"/>
      <c r="D35" s="113"/>
      <c r="E35" s="124">
        <f t="shared" si="35"/>
        <v>0</v>
      </c>
      <c r="F35" s="124">
        <f t="shared" si="36"/>
        <v>0</v>
      </c>
      <c r="G35" s="125">
        <f t="shared" si="25"/>
        <v>5</v>
      </c>
      <c r="H35" s="125">
        <f t="shared" si="26"/>
        <v>0</v>
      </c>
      <c r="I35" s="126">
        <f t="shared" si="37"/>
        <v>5</v>
      </c>
      <c r="J35" s="116">
        <f t="shared" si="38"/>
        <v>6.4</v>
      </c>
      <c r="K35" s="117">
        <f t="shared" si="39"/>
        <v>6.4</v>
      </c>
      <c r="L35" s="116">
        <f t="shared" si="40"/>
        <v>6.4</v>
      </c>
      <c r="M35" s="116">
        <f t="shared" si="41"/>
        <v>0</v>
      </c>
      <c r="N35" s="126">
        <f t="shared" si="42"/>
        <v>5.6</v>
      </c>
      <c r="O35" s="116">
        <f t="shared" si="43"/>
        <v>6.4</v>
      </c>
      <c r="P35" s="126">
        <f t="shared" si="44"/>
        <v>6</v>
      </c>
      <c r="Q35" s="126">
        <f t="shared" si="45"/>
        <v>1.2000000000000002</v>
      </c>
      <c r="R35" s="127">
        <f>(2*ปร.4_1!$W$12)*B35</f>
        <v>100</v>
      </c>
      <c r="S35" s="127">
        <f>ปร.4_1!$Z$13*Soil!B35</f>
        <v>125</v>
      </c>
      <c r="T35" s="128">
        <f t="shared" si="46"/>
        <v>0</v>
      </c>
      <c r="U35" s="128">
        <f t="shared" si="47"/>
        <v>30.000000000000004</v>
      </c>
      <c r="V35" s="128">
        <f t="shared" si="48"/>
        <v>5</v>
      </c>
      <c r="W35" s="128">
        <f t="shared" si="49"/>
        <v>5.6</v>
      </c>
      <c r="X35" s="128">
        <f t="shared" si="50"/>
        <v>5.3</v>
      </c>
      <c r="Y35" s="128">
        <f t="shared" si="51"/>
        <v>0.79499999999999993</v>
      </c>
      <c r="Z35" s="129">
        <f t="shared" si="52"/>
        <v>19.875</v>
      </c>
      <c r="AA35" s="128">
        <f t="shared" si="53"/>
        <v>125</v>
      </c>
      <c r="AB35" s="130">
        <f t="shared" si="54"/>
        <v>0</v>
      </c>
      <c r="AC35" s="131">
        <f t="shared" si="55"/>
        <v>25</v>
      </c>
    </row>
    <row r="36" spans="1:29">
      <c r="A36" s="122">
        <f t="shared" si="34"/>
        <v>675</v>
      </c>
      <c r="B36" s="123">
        <f t="shared" si="23"/>
        <v>25</v>
      </c>
      <c r="C36" s="113"/>
      <c r="D36" s="113"/>
      <c r="E36" s="124">
        <f t="shared" si="35"/>
        <v>0</v>
      </c>
      <c r="F36" s="124">
        <f t="shared" si="36"/>
        <v>0</v>
      </c>
      <c r="G36" s="125">
        <f t="shared" si="25"/>
        <v>5</v>
      </c>
      <c r="H36" s="125">
        <f t="shared" si="26"/>
        <v>0</v>
      </c>
      <c r="I36" s="126">
        <f t="shared" si="37"/>
        <v>5</v>
      </c>
      <c r="J36" s="116">
        <f t="shared" si="38"/>
        <v>6.4</v>
      </c>
      <c r="K36" s="117">
        <f t="shared" si="39"/>
        <v>6.4</v>
      </c>
      <c r="L36" s="116">
        <f t="shared" si="40"/>
        <v>6.4</v>
      </c>
      <c r="M36" s="116">
        <f t="shared" si="41"/>
        <v>0</v>
      </c>
      <c r="N36" s="126">
        <f t="shared" si="42"/>
        <v>5.6</v>
      </c>
      <c r="O36" s="116">
        <f t="shared" si="43"/>
        <v>6.4</v>
      </c>
      <c r="P36" s="126">
        <f t="shared" si="44"/>
        <v>6</v>
      </c>
      <c r="Q36" s="126">
        <f t="shared" si="45"/>
        <v>1.2000000000000002</v>
      </c>
      <c r="R36" s="127">
        <f>(2*ปร.4_1!$W$12)*B36</f>
        <v>100</v>
      </c>
      <c r="S36" s="127">
        <f>ปร.4_1!$Z$13*Soil!B36</f>
        <v>125</v>
      </c>
      <c r="T36" s="128">
        <f t="shared" si="46"/>
        <v>0</v>
      </c>
      <c r="U36" s="128">
        <f t="shared" si="47"/>
        <v>30.000000000000004</v>
      </c>
      <c r="V36" s="128">
        <f t="shared" si="48"/>
        <v>5</v>
      </c>
      <c r="W36" s="128">
        <f t="shared" si="49"/>
        <v>5.6</v>
      </c>
      <c r="X36" s="128">
        <f t="shared" si="50"/>
        <v>5.3</v>
      </c>
      <c r="Y36" s="128">
        <f t="shared" si="51"/>
        <v>0.79499999999999993</v>
      </c>
      <c r="Z36" s="129">
        <f t="shared" si="52"/>
        <v>19.875</v>
      </c>
      <c r="AA36" s="128">
        <f t="shared" si="53"/>
        <v>125</v>
      </c>
      <c r="AB36" s="130">
        <f t="shared" si="54"/>
        <v>0</v>
      </c>
      <c r="AC36" s="131">
        <f t="shared" si="55"/>
        <v>25</v>
      </c>
    </row>
    <row r="37" spans="1:29">
      <c r="A37" s="122">
        <f t="shared" si="34"/>
        <v>700</v>
      </c>
      <c r="B37" s="123">
        <f t="shared" si="23"/>
        <v>25</v>
      </c>
      <c r="C37" s="113"/>
      <c r="D37" s="113"/>
      <c r="E37" s="124">
        <f t="shared" si="35"/>
        <v>0</v>
      </c>
      <c r="F37" s="124">
        <f t="shared" si="36"/>
        <v>0</v>
      </c>
      <c r="G37" s="125">
        <f t="shared" si="25"/>
        <v>5</v>
      </c>
      <c r="H37" s="125">
        <f t="shared" si="26"/>
        <v>0</v>
      </c>
      <c r="I37" s="126">
        <f t="shared" si="37"/>
        <v>5</v>
      </c>
      <c r="J37" s="116">
        <f t="shared" si="38"/>
        <v>6.4</v>
      </c>
      <c r="K37" s="117">
        <f t="shared" si="39"/>
        <v>6.4</v>
      </c>
      <c r="L37" s="116">
        <f t="shared" si="40"/>
        <v>6.4</v>
      </c>
      <c r="M37" s="116">
        <f t="shared" si="41"/>
        <v>0</v>
      </c>
      <c r="N37" s="126">
        <f t="shared" si="42"/>
        <v>5.6</v>
      </c>
      <c r="O37" s="116">
        <f t="shared" si="43"/>
        <v>6.4</v>
      </c>
      <c r="P37" s="126">
        <f t="shared" si="44"/>
        <v>6</v>
      </c>
      <c r="Q37" s="126">
        <f t="shared" si="45"/>
        <v>1.2000000000000002</v>
      </c>
      <c r="R37" s="127">
        <f>(2*ปร.4_1!$W$12)*B37</f>
        <v>100</v>
      </c>
      <c r="S37" s="127">
        <f>ปร.4_1!$Z$13*Soil!B37</f>
        <v>125</v>
      </c>
      <c r="T37" s="128">
        <f t="shared" si="46"/>
        <v>0</v>
      </c>
      <c r="U37" s="128">
        <f t="shared" si="47"/>
        <v>30.000000000000004</v>
      </c>
      <c r="V37" s="128">
        <f t="shared" si="48"/>
        <v>5</v>
      </c>
      <c r="W37" s="128">
        <f t="shared" si="49"/>
        <v>5.6</v>
      </c>
      <c r="X37" s="128">
        <f t="shared" si="50"/>
        <v>5.3</v>
      </c>
      <c r="Y37" s="128">
        <f t="shared" si="51"/>
        <v>0.79499999999999993</v>
      </c>
      <c r="Z37" s="129">
        <f t="shared" si="52"/>
        <v>19.875</v>
      </c>
      <c r="AA37" s="128">
        <f t="shared" si="53"/>
        <v>125</v>
      </c>
      <c r="AB37" s="130">
        <f t="shared" si="54"/>
        <v>0</v>
      </c>
      <c r="AC37" s="131">
        <f t="shared" si="55"/>
        <v>25</v>
      </c>
    </row>
    <row r="38" spans="1:29">
      <c r="A38" s="122">
        <f t="shared" si="34"/>
        <v>725</v>
      </c>
      <c r="B38" s="123">
        <f t="shared" si="23"/>
        <v>25</v>
      </c>
      <c r="C38" s="113"/>
      <c r="D38" s="113"/>
      <c r="E38" s="124">
        <f t="shared" si="35"/>
        <v>0</v>
      </c>
      <c r="F38" s="124">
        <f t="shared" si="36"/>
        <v>0</v>
      </c>
      <c r="G38" s="125">
        <f t="shared" si="25"/>
        <v>5</v>
      </c>
      <c r="H38" s="125">
        <f t="shared" si="26"/>
        <v>0</v>
      </c>
      <c r="I38" s="126">
        <f t="shared" si="37"/>
        <v>5</v>
      </c>
      <c r="J38" s="116">
        <f t="shared" si="38"/>
        <v>6.4</v>
      </c>
      <c r="K38" s="117">
        <f t="shared" si="39"/>
        <v>6.4</v>
      </c>
      <c r="L38" s="116">
        <f t="shared" si="40"/>
        <v>6.4</v>
      </c>
      <c r="M38" s="116">
        <f t="shared" si="41"/>
        <v>0</v>
      </c>
      <c r="N38" s="126">
        <f t="shared" si="42"/>
        <v>5.6</v>
      </c>
      <c r="O38" s="116">
        <f t="shared" si="43"/>
        <v>6.4</v>
      </c>
      <c r="P38" s="126">
        <f t="shared" si="44"/>
        <v>6</v>
      </c>
      <c r="Q38" s="126">
        <f t="shared" si="45"/>
        <v>1.2000000000000002</v>
      </c>
      <c r="R38" s="127">
        <f>(2*ปร.4_1!$W$12)*B38</f>
        <v>100</v>
      </c>
      <c r="S38" s="127">
        <f>ปร.4_1!$Z$13*Soil!B38</f>
        <v>125</v>
      </c>
      <c r="T38" s="128">
        <f t="shared" si="46"/>
        <v>0</v>
      </c>
      <c r="U38" s="128">
        <f t="shared" si="47"/>
        <v>30.000000000000004</v>
      </c>
      <c r="V38" s="128">
        <f t="shared" si="48"/>
        <v>5</v>
      </c>
      <c r="W38" s="128">
        <f t="shared" si="49"/>
        <v>5.6</v>
      </c>
      <c r="X38" s="128">
        <f t="shared" si="50"/>
        <v>5.3</v>
      </c>
      <c r="Y38" s="128">
        <f t="shared" si="51"/>
        <v>0.79499999999999993</v>
      </c>
      <c r="Z38" s="129">
        <f t="shared" si="52"/>
        <v>19.875</v>
      </c>
      <c r="AA38" s="128">
        <f t="shared" si="53"/>
        <v>125</v>
      </c>
      <c r="AB38" s="130">
        <f t="shared" si="54"/>
        <v>0</v>
      </c>
      <c r="AC38" s="131">
        <f t="shared" si="55"/>
        <v>25</v>
      </c>
    </row>
    <row r="39" spans="1:29">
      <c r="A39" s="122">
        <f t="shared" si="34"/>
        <v>750</v>
      </c>
      <c r="B39" s="123">
        <v>25</v>
      </c>
      <c r="C39" s="113"/>
      <c r="D39" s="113"/>
      <c r="E39" s="124">
        <f t="shared" si="35"/>
        <v>0</v>
      </c>
      <c r="F39" s="124">
        <f t="shared" si="36"/>
        <v>0</v>
      </c>
      <c r="G39" s="125">
        <f t="shared" si="25"/>
        <v>5</v>
      </c>
      <c r="H39" s="125">
        <f t="shared" si="26"/>
        <v>0</v>
      </c>
      <c r="I39" s="126">
        <f t="shared" si="37"/>
        <v>5</v>
      </c>
      <c r="J39" s="116">
        <f t="shared" si="38"/>
        <v>6.4</v>
      </c>
      <c r="K39" s="117">
        <f t="shared" si="39"/>
        <v>6.4</v>
      </c>
      <c r="L39" s="116">
        <f t="shared" si="40"/>
        <v>6.4</v>
      </c>
      <c r="M39" s="116">
        <f t="shared" si="41"/>
        <v>0</v>
      </c>
      <c r="N39" s="126">
        <f t="shared" si="42"/>
        <v>5.6</v>
      </c>
      <c r="O39" s="116">
        <f t="shared" si="43"/>
        <v>6.4</v>
      </c>
      <c r="P39" s="126">
        <f t="shared" si="44"/>
        <v>6</v>
      </c>
      <c r="Q39" s="126">
        <f t="shared" si="45"/>
        <v>1.2000000000000002</v>
      </c>
      <c r="R39" s="127">
        <f>(2*ปร.4_1!$W$12)*B39</f>
        <v>100</v>
      </c>
      <c r="S39" s="127">
        <f>ปร.4_1!$Z$13*Soil!B39</f>
        <v>125</v>
      </c>
      <c r="T39" s="128">
        <f t="shared" si="46"/>
        <v>0</v>
      </c>
      <c r="U39" s="128">
        <f t="shared" si="47"/>
        <v>30.000000000000004</v>
      </c>
      <c r="V39" s="128">
        <f t="shared" si="48"/>
        <v>5</v>
      </c>
      <c r="W39" s="128">
        <f t="shared" si="49"/>
        <v>5.6</v>
      </c>
      <c r="X39" s="128">
        <f t="shared" si="50"/>
        <v>5.3</v>
      </c>
      <c r="Y39" s="128">
        <f t="shared" si="51"/>
        <v>0.79499999999999993</v>
      </c>
      <c r="Z39" s="129">
        <f t="shared" si="52"/>
        <v>19.875</v>
      </c>
      <c r="AA39" s="128">
        <f t="shared" si="53"/>
        <v>125</v>
      </c>
      <c r="AB39" s="130">
        <f t="shared" si="54"/>
        <v>0</v>
      </c>
      <c r="AC39" s="131">
        <f t="shared" si="55"/>
        <v>25</v>
      </c>
    </row>
    <row r="40" spans="1:29">
      <c r="A40" s="122">
        <f t="shared" si="34"/>
        <v>775</v>
      </c>
      <c r="B40" s="123">
        <v>25</v>
      </c>
      <c r="C40" s="113"/>
      <c r="D40" s="113"/>
      <c r="E40" s="124">
        <f t="shared" si="35"/>
        <v>0</v>
      </c>
      <c r="F40" s="124">
        <f t="shared" si="36"/>
        <v>0</v>
      </c>
      <c r="G40" s="125">
        <f t="shared" si="25"/>
        <v>5</v>
      </c>
      <c r="H40" s="125">
        <f t="shared" si="26"/>
        <v>0</v>
      </c>
      <c r="I40" s="126">
        <f t="shared" si="37"/>
        <v>5</v>
      </c>
      <c r="J40" s="116">
        <f t="shared" si="38"/>
        <v>6.4</v>
      </c>
      <c r="K40" s="117">
        <f t="shared" si="39"/>
        <v>6.4</v>
      </c>
      <c r="L40" s="116">
        <f t="shared" si="40"/>
        <v>6.4</v>
      </c>
      <c r="M40" s="116">
        <f t="shared" si="41"/>
        <v>0</v>
      </c>
      <c r="N40" s="126">
        <f t="shared" si="42"/>
        <v>5.6</v>
      </c>
      <c r="O40" s="116">
        <f t="shared" si="43"/>
        <v>6.4</v>
      </c>
      <c r="P40" s="126">
        <f t="shared" si="44"/>
        <v>6</v>
      </c>
      <c r="Q40" s="126">
        <f t="shared" si="45"/>
        <v>1.2000000000000002</v>
      </c>
      <c r="R40" s="127">
        <f>(2*ปร.4_1!$W$12)*B40</f>
        <v>100</v>
      </c>
      <c r="S40" s="127">
        <f>ปร.4_1!$Z$13*Soil!B40</f>
        <v>125</v>
      </c>
      <c r="T40" s="128">
        <f t="shared" si="46"/>
        <v>0</v>
      </c>
      <c r="U40" s="128">
        <f t="shared" si="47"/>
        <v>30.000000000000004</v>
      </c>
      <c r="V40" s="128">
        <f t="shared" si="48"/>
        <v>5</v>
      </c>
      <c r="W40" s="128">
        <f t="shared" si="49"/>
        <v>5.6</v>
      </c>
      <c r="X40" s="128">
        <f t="shared" si="50"/>
        <v>5.3</v>
      </c>
      <c r="Y40" s="128">
        <f t="shared" si="51"/>
        <v>0.79499999999999993</v>
      </c>
      <c r="Z40" s="129">
        <f t="shared" si="52"/>
        <v>19.875</v>
      </c>
      <c r="AA40" s="128">
        <f t="shared" si="53"/>
        <v>125</v>
      </c>
      <c r="AB40" s="130">
        <f t="shared" si="54"/>
        <v>0</v>
      </c>
      <c r="AC40" s="131">
        <f t="shared" si="55"/>
        <v>25</v>
      </c>
    </row>
    <row r="41" spans="1:29">
      <c r="A41" s="122">
        <f t="shared" si="34"/>
        <v>800</v>
      </c>
      <c r="B41" s="123">
        <v>25</v>
      </c>
      <c r="C41" s="113"/>
      <c r="D41" s="113"/>
      <c r="E41" s="124">
        <f t="shared" si="35"/>
        <v>0</v>
      </c>
      <c r="F41" s="124">
        <f t="shared" si="36"/>
        <v>0</v>
      </c>
      <c r="G41" s="125">
        <f t="shared" si="25"/>
        <v>5</v>
      </c>
      <c r="H41" s="125">
        <f t="shared" si="26"/>
        <v>0</v>
      </c>
      <c r="I41" s="126">
        <f t="shared" si="37"/>
        <v>5</v>
      </c>
      <c r="J41" s="116">
        <f t="shared" si="38"/>
        <v>6.4</v>
      </c>
      <c r="K41" s="117">
        <f t="shared" si="39"/>
        <v>6.4</v>
      </c>
      <c r="L41" s="116">
        <f t="shared" si="40"/>
        <v>6.4</v>
      </c>
      <c r="M41" s="116">
        <f t="shared" si="41"/>
        <v>0</v>
      </c>
      <c r="N41" s="126">
        <f t="shared" si="42"/>
        <v>5.6</v>
      </c>
      <c r="O41" s="116">
        <f t="shared" si="43"/>
        <v>6.4</v>
      </c>
      <c r="P41" s="126">
        <f t="shared" si="44"/>
        <v>6</v>
      </c>
      <c r="Q41" s="126">
        <f t="shared" si="45"/>
        <v>1.2000000000000002</v>
      </c>
      <c r="R41" s="127">
        <f>(2*ปร.4_1!$W$12)*B41</f>
        <v>100</v>
      </c>
      <c r="S41" s="127">
        <f>ปร.4_1!$Z$13*Soil!B41</f>
        <v>125</v>
      </c>
      <c r="T41" s="128">
        <f t="shared" si="46"/>
        <v>0</v>
      </c>
      <c r="U41" s="128">
        <f t="shared" si="47"/>
        <v>30.000000000000004</v>
      </c>
      <c r="V41" s="128">
        <f t="shared" si="48"/>
        <v>5</v>
      </c>
      <c r="W41" s="128">
        <f t="shared" si="49"/>
        <v>5.6</v>
      </c>
      <c r="X41" s="128">
        <f t="shared" si="50"/>
        <v>5.3</v>
      </c>
      <c r="Y41" s="128">
        <f t="shared" si="51"/>
        <v>0.79499999999999993</v>
      </c>
      <c r="Z41" s="129">
        <f t="shared" si="52"/>
        <v>19.875</v>
      </c>
      <c r="AA41" s="128">
        <f t="shared" si="53"/>
        <v>125</v>
      </c>
      <c r="AB41" s="130">
        <f t="shared" si="54"/>
        <v>0</v>
      </c>
      <c r="AC41" s="131">
        <f t="shared" si="55"/>
        <v>25</v>
      </c>
    </row>
    <row r="42" spans="1:29">
      <c r="A42" s="122">
        <f t="shared" si="34"/>
        <v>825</v>
      </c>
      <c r="B42" s="123">
        <v>25</v>
      </c>
      <c r="C42" s="113"/>
      <c r="D42" s="113"/>
      <c r="E42" s="124">
        <f t="shared" si="35"/>
        <v>0</v>
      </c>
      <c r="F42" s="124">
        <f t="shared" si="36"/>
        <v>0</v>
      </c>
      <c r="G42" s="125">
        <f t="shared" si="25"/>
        <v>5</v>
      </c>
      <c r="H42" s="125">
        <f t="shared" si="26"/>
        <v>0</v>
      </c>
      <c r="I42" s="126">
        <f t="shared" si="37"/>
        <v>5</v>
      </c>
      <c r="J42" s="116">
        <f t="shared" si="38"/>
        <v>6.4</v>
      </c>
      <c r="K42" s="117">
        <f t="shared" si="39"/>
        <v>6.4</v>
      </c>
      <c r="L42" s="116">
        <f t="shared" si="40"/>
        <v>6.4</v>
      </c>
      <c r="M42" s="116">
        <f t="shared" si="41"/>
        <v>0</v>
      </c>
      <c r="N42" s="126">
        <f t="shared" si="42"/>
        <v>5.6</v>
      </c>
      <c r="O42" s="116">
        <f t="shared" si="43"/>
        <v>6.4</v>
      </c>
      <c r="P42" s="126">
        <f t="shared" si="44"/>
        <v>6</v>
      </c>
      <c r="Q42" s="126">
        <f t="shared" si="45"/>
        <v>1.2000000000000002</v>
      </c>
      <c r="R42" s="127">
        <f>(2*ปร.4_1!$W$12)*B42</f>
        <v>100</v>
      </c>
      <c r="S42" s="127">
        <f>ปร.4_1!$Z$13*Soil!B42</f>
        <v>125</v>
      </c>
      <c r="T42" s="128">
        <f t="shared" si="46"/>
        <v>0</v>
      </c>
      <c r="U42" s="128">
        <f t="shared" si="47"/>
        <v>30.000000000000004</v>
      </c>
      <c r="V42" s="128">
        <f t="shared" si="48"/>
        <v>5</v>
      </c>
      <c r="W42" s="128">
        <f t="shared" si="49"/>
        <v>5.6</v>
      </c>
      <c r="X42" s="128">
        <f t="shared" si="50"/>
        <v>5.3</v>
      </c>
      <c r="Y42" s="128">
        <f t="shared" si="51"/>
        <v>0.79499999999999993</v>
      </c>
      <c r="Z42" s="129">
        <f t="shared" si="52"/>
        <v>19.875</v>
      </c>
      <c r="AA42" s="128">
        <f t="shared" si="53"/>
        <v>125</v>
      </c>
      <c r="AB42" s="130">
        <f t="shared" si="54"/>
        <v>0</v>
      </c>
      <c r="AC42" s="131">
        <f t="shared" si="55"/>
        <v>25</v>
      </c>
    </row>
    <row r="43" spans="1:29">
      <c r="A43" s="122">
        <f t="shared" si="34"/>
        <v>840</v>
      </c>
      <c r="B43" s="123">
        <v>15</v>
      </c>
      <c r="C43" s="113"/>
      <c r="D43" s="113"/>
      <c r="E43" s="124">
        <f t="shared" si="35"/>
        <v>0</v>
      </c>
      <c r="F43" s="124">
        <f t="shared" si="36"/>
        <v>0</v>
      </c>
      <c r="G43" s="125">
        <f t="shared" si="25"/>
        <v>5</v>
      </c>
      <c r="H43" s="125">
        <f t="shared" si="26"/>
        <v>0</v>
      </c>
      <c r="I43" s="126">
        <f t="shared" si="37"/>
        <v>5</v>
      </c>
      <c r="J43" s="116">
        <f t="shared" si="38"/>
        <v>6.4</v>
      </c>
      <c r="K43" s="117">
        <f t="shared" si="39"/>
        <v>6.4</v>
      </c>
      <c r="L43" s="116">
        <f t="shared" si="40"/>
        <v>6.4</v>
      </c>
      <c r="M43" s="116">
        <f t="shared" si="41"/>
        <v>0</v>
      </c>
      <c r="N43" s="126">
        <f t="shared" si="42"/>
        <v>5.6</v>
      </c>
      <c r="O43" s="116">
        <f t="shared" si="43"/>
        <v>6.4</v>
      </c>
      <c r="P43" s="126">
        <f t="shared" si="44"/>
        <v>6</v>
      </c>
      <c r="Q43" s="126">
        <f t="shared" si="45"/>
        <v>1.2000000000000002</v>
      </c>
      <c r="R43" s="127">
        <f>(2*ปร.4_1!$W$12)*B43</f>
        <v>60</v>
      </c>
      <c r="S43" s="127">
        <f>ปร.4_1!$Z$13*Soil!B43</f>
        <v>75</v>
      </c>
      <c r="T43" s="128">
        <f t="shared" si="46"/>
        <v>0</v>
      </c>
      <c r="U43" s="128">
        <f t="shared" si="47"/>
        <v>18.000000000000004</v>
      </c>
      <c r="V43" s="128">
        <f t="shared" si="48"/>
        <v>5</v>
      </c>
      <c r="W43" s="128">
        <f t="shared" si="49"/>
        <v>5.6</v>
      </c>
      <c r="X43" s="128">
        <f t="shared" si="50"/>
        <v>5.3</v>
      </c>
      <c r="Y43" s="128">
        <f t="shared" si="51"/>
        <v>0.79499999999999993</v>
      </c>
      <c r="Z43" s="129">
        <f t="shared" si="52"/>
        <v>11.924999999999999</v>
      </c>
      <c r="AA43" s="128">
        <f t="shared" si="53"/>
        <v>75</v>
      </c>
      <c r="AB43" s="130">
        <f t="shared" si="54"/>
        <v>0</v>
      </c>
      <c r="AC43" s="131">
        <f t="shared" si="55"/>
        <v>15</v>
      </c>
    </row>
    <row r="44" spans="1:29" hidden="1">
      <c r="A44" s="122">
        <f t="shared" si="34"/>
        <v>840</v>
      </c>
      <c r="B44" s="123">
        <v>0</v>
      </c>
      <c r="C44" s="113"/>
      <c r="D44" s="113"/>
      <c r="E44" s="124">
        <f t="shared" si="35"/>
        <v>0</v>
      </c>
      <c r="F44" s="124">
        <f t="shared" si="36"/>
        <v>0</v>
      </c>
      <c r="G44" s="125">
        <f t="shared" si="25"/>
        <v>5</v>
      </c>
      <c r="H44" s="125">
        <f t="shared" si="26"/>
        <v>0</v>
      </c>
      <c r="I44" s="126">
        <f t="shared" si="37"/>
        <v>5</v>
      </c>
      <c r="J44" s="116">
        <f t="shared" si="38"/>
        <v>6.4</v>
      </c>
      <c r="K44" s="117">
        <f t="shared" si="39"/>
        <v>6.4</v>
      </c>
      <c r="L44" s="116">
        <f t="shared" si="40"/>
        <v>6.4</v>
      </c>
      <c r="M44" s="116">
        <f t="shared" si="41"/>
        <v>0</v>
      </c>
      <c r="N44" s="126">
        <f t="shared" si="42"/>
        <v>5.6</v>
      </c>
      <c r="O44" s="116">
        <f t="shared" si="43"/>
        <v>6.4</v>
      </c>
      <c r="P44" s="126">
        <f t="shared" si="44"/>
        <v>6</v>
      </c>
      <c r="Q44" s="126">
        <f t="shared" si="45"/>
        <v>1.2000000000000002</v>
      </c>
      <c r="R44" s="127">
        <f>(2*ปร.4_1!$W$12)*B44</f>
        <v>0</v>
      </c>
      <c r="S44" s="127">
        <f>ปร.4_1!$Z$13*Soil!B44</f>
        <v>0</v>
      </c>
      <c r="T44" s="128">
        <f t="shared" si="46"/>
        <v>0</v>
      </c>
      <c r="U44" s="128">
        <f t="shared" si="47"/>
        <v>0</v>
      </c>
      <c r="V44" s="128">
        <f t="shared" si="48"/>
        <v>5</v>
      </c>
      <c r="W44" s="128">
        <f t="shared" si="49"/>
        <v>5.6</v>
      </c>
      <c r="X44" s="128">
        <f t="shared" si="50"/>
        <v>5.3</v>
      </c>
      <c r="Y44" s="128">
        <f t="shared" si="51"/>
        <v>0.79499999999999993</v>
      </c>
      <c r="Z44" s="129">
        <f t="shared" si="52"/>
        <v>0</v>
      </c>
      <c r="AA44" s="128">
        <f t="shared" si="53"/>
        <v>0</v>
      </c>
      <c r="AB44" s="130">
        <f t="shared" si="54"/>
        <v>0</v>
      </c>
      <c r="AC44" s="131">
        <f t="shared" si="55"/>
        <v>0</v>
      </c>
    </row>
    <row r="45" spans="1:29" hidden="1">
      <c r="A45" s="122">
        <f t="shared" si="34"/>
        <v>840</v>
      </c>
      <c r="B45" s="123">
        <v>0</v>
      </c>
      <c r="C45" s="113"/>
      <c r="D45" s="113"/>
      <c r="E45" s="124">
        <f t="shared" si="35"/>
        <v>0</v>
      </c>
      <c r="F45" s="124">
        <f t="shared" si="36"/>
        <v>0</v>
      </c>
      <c r="G45" s="125">
        <f t="shared" si="25"/>
        <v>5</v>
      </c>
      <c r="H45" s="125">
        <f t="shared" si="26"/>
        <v>0</v>
      </c>
      <c r="I45" s="126">
        <f t="shared" si="37"/>
        <v>5</v>
      </c>
      <c r="J45" s="116">
        <f t="shared" si="38"/>
        <v>6.4</v>
      </c>
      <c r="K45" s="117">
        <f t="shared" si="39"/>
        <v>6.4</v>
      </c>
      <c r="L45" s="116">
        <f t="shared" si="40"/>
        <v>6.4</v>
      </c>
      <c r="M45" s="116">
        <f t="shared" si="41"/>
        <v>0</v>
      </c>
      <c r="N45" s="126">
        <f t="shared" si="42"/>
        <v>5.6</v>
      </c>
      <c r="O45" s="116">
        <f t="shared" si="43"/>
        <v>6.4</v>
      </c>
      <c r="P45" s="126">
        <f t="shared" si="44"/>
        <v>6</v>
      </c>
      <c r="Q45" s="126">
        <f t="shared" si="45"/>
        <v>1.2000000000000002</v>
      </c>
      <c r="R45" s="127">
        <f>(2*ปร.4_1!$W$12)*B45</f>
        <v>0</v>
      </c>
      <c r="S45" s="127">
        <f>ปร.4_1!$Z$13*Soil!B45</f>
        <v>0</v>
      </c>
      <c r="T45" s="128">
        <f t="shared" si="46"/>
        <v>0</v>
      </c>
      <c r="U45" s="128">
        <f t="shared" si="47"/>
        <v>0</v>
      </c>
      <c r="V45" s="128">
        <f t="shared" si="48"/>
        <v>5</v>
      </c>
      <c r="W45" s="128">
        <f t="shared" si="49"/>
        <v>5.6</v>
      </c>
      <c r="X45" s="128">
        <f t="shared" si="50"/>
        <v>5.3</v>
      </c>
      <c r="Y45" s="128">
        <f t="shared" si="51"/>
        <v>0.79499999999999993</v>
      </c>
      <c r="Z45" s="129">
        <f t="shared" si="52"/>
        <v>0</v>
      </c>
      <c r="AA45" s="128">
        <f t="shared" si="53"/>
        <v>0</v>
      </c>
      <c r="AB45" s="130">
        <f t="shared" si="54"/>
        <v>0</v>
      </c>
      <c r="AC45" s="131">
        <f t="shared" si="55"/>
        <v>0</v>
      </c>
    </row>
    <row r="46" spans="1:29" hidden="1">
      <c r="A46" s="122">
        <f t="shared" si="34"/>
        <v>840</v>
      </c>
      <c r="B46" s="123">
        <v>0</v>
      </c>
      <c r="C46" s="113"/>
      <c r="D46" s="113"/>
      <c r="E46" s="124">
        <f t="shared" si="35"/>
        <v>0</v>
      </c>
      <c r="F46" s="124">
        <f t="shared" si="36"/>
        <v>0</v>
      </c>
      <c r="G46" s="125">
        <f t="shared" si="25"/>
        <v>5</v>
      </c>
      <c r="H46" s="125">
        <f t="shared" si="26"/>
        <v>0</v>
      </c>
      <c r="I46" s="126">
        <f t="shared" si="37"/>
        <v>5</v>
      </c>
      <c r="J46" s="116">
        <f t="shared" si="38"/>
        <v>6.4</v>
      </c>
      <c r="K46" s="117">
        <f t="shared" si="39"/>
        <v>6.4</v>
      </c>
      <c r="L46" s="116">
        <f t="shared" si="40"/>
        <v>6.4</v>
      </c>
      <c r="M46" s="116">
        <f t="shared" si="41"/>
        <v>0</v>
      </c>
      <c r="N46" s="126">
        <f t="shared" si="42"/>
        <v>5.6</v>
      </c>
      <c r="O46" s="116">
        <f t="shared" si="43"/>
        <v>6.4</v>
      </c>
      <c r="P46" s="126">
        <f t="shared" si="44"/>
        <v>6</v>
      </c>
      <c r="Q46" s="126">
        <f t="shared" si="45"/>
        <v>1.2000000000000002</v>
      </c>
      <c r="R46" s="127">
        <f>(2*ปร.4_1!$W$12)*B46</f>
        <v>0</v>
      </c>
      <c r="S46" s="127">
        <f>ปร.4_1!$Z$13*Soil!B46</f>
        <v>0</v>
      </c>
      <c r="T46" s="128">
        <f t="shared" si="46"/>
        <v>0</v>
      </c>
      <c r="U46" s="128">
        <f t="shared" si="47"/>
        <v>0</v>
      </c>
      <c r="V46" s="128">
        <f t="shared" si="48"/>
        <v>5</v>
      </c>
      <c r="W46" s="128">
        <f t="shared" si="49"/>
        <v>5.6</v>
      </c>
      <c r="X46" s="128">
        <f t="shared" si="50"/>
        <v>5.3</v>
      </c>
      <c r="Y46" s="128">
        <f t="shared" si="51"/>
        <v>0.79499999999999993</v>
      </c>
      <c r="Z46" s="129">
        <f t="shared" si="52"/>
        <v>0</v>
      </c>
      <c r="AA46" s="128">
        <f t="shared" si="53"/>
        <v>0</v>
      </c>
      <c r="AB46" s="130">
        <f t="shared" si="54"/>
        <v>0</v>
      </c>
      <c r="AC46" s="131">
        <f t="shared" si="55"/>
        <v>0</v>
      </c>
    </row>
    <row r="47" spans="1:29" hidden="1">
      <c r="A47" s="122">
        <f t="shared" si="34"/>
        <v>840</v>
      </c>
      <c r="B47" s="123">
        <v>0</v>
      </c>
      <c r="C47" s="113"/>
      <c r="D47" s="113"/>
      <c r="E47" s="124">
        <f t="shared" si="35"/>
        <v>0</v>
      </c>
      <c r="F47" s="124">
        <f t="shared" si="36"/>
        <v>0</v>
      </c>
      <c r="G47" s="125">
        <f t="shared" si="25"/>
        <v>5</v>
      </c>
      <c r="H47" s="125">
        <f t="shared" si="26"/>
        <v>0</v>
      </c>
      <c r="I47" s="126">
        <f t="shared" si="37"/>
        <v>5</v>
      </c>
      <c r="J47" s="116">
        <f t="shared" si="38"/>
        <v>6.4</v>
      </c>
      <c r="K47" s="117">
        <f t="shared" si="39"/>
        <v>6.4</v>
      </c>
      <c r="L47" s="116">
        <f t="shared" si="40"/>
        <v>6.4</v>
      </c>
      <c r="M47" s="116">
        <f t="shared" si="41"/>
        <v>0</v>
      </c>
      <c r="N47" s="126">
        <f t="shared" si="42"/>
        <v>5.6</v>
      </c>
      <c r="O47" s="116">
        <f t="shared" si="43"/>
        <v>6.4</v>
      </c>
      <c r="P47" s="126">
        <f t="shared" si="44"/>
        <v>6</v>
      </c>
      <c r="Q47" s="126">
        <f t="shared" si="45"/>
        <v>1.2000000000000002</v>
      </c>
      <c r="R47" s="127">
        <f>(2*ปร.4_1!$W$12)*B47</f>
        <v>0</v>
      </c>
      <c r="S47" s="127">
        <f>ปร.4_1!$Z$13*Soil!B47</f>
        <v>0</v>
      </c>
      <c r="T47" s="128">
        <f t="shared" si="46"/>
        <v>0</v>
      </c>
      <c r="U47" s="128">
        <f t="shared" si="47"/>
        <v>0</v>
      </c>
      <c r="V47" s="128">
        <f t="shared" si="48"/>
        <v>5</v>
      </c>
      <c r="W47" s="128">
        <f t="shared" si="49"/>
        <v>5.6</v>
      </c>
      <c r="X47" s="128">
        <f t="shared" si="50"/>
        <v>5.3</v>
      </c>
      <c r="Y47" s="128">
        <f t="shared" si="51"/>
        <v>0.79499999999999993</v>
      </c>
      <c r="Z47" s="129">
        <f t="shared" si="52"/>
        <v>0</v>
      </c>
      <c r="AA47" s="128">
        <f t="shared" si="53"/>
        <v>0</v>
      </c>
      <c r="AB47" s="130">
        <f t="shared" si="54"/>
        <v>0</v>
      </c>
      <c r="AC47" s="131">
        <f t="shared" si="55"/>
        <v>0</v>
      </c>
    </row>
    <row r="48" spans="1:29" hidden="1">
      <c r="A48" s="122">
        <f t="shared" si="34"/>
        <v>840</v>
      </c>
      <c r="B48" s="123">
        <v>0</v>
      </c>
      <c r="C48" s="113"/>
      <c r="D48" s="113"/>
      <c r="E48" s="124">
        <f t="shared" si="35"/>
        <v>0</v>
      </c>
      <c r="F48" s="124">
        <f t="shared" si="36"/>
        <v>0</v>
      </c>
      <c r="G48" s="125">
        <f t="shared" si="25"/>
        <v>5</v>
      </c>
      <c r="H48" s="125">
        <f t="shared" si="26"/>
        <v>0</v>
      </c>
      <c r="I48" s="126">
        <f t="shared" si="37"/>
        <v>5</v>
      </c>
      <c r="J48" s="116">
        <f t="shared" si="38"/>
        <v>6.4</v>
      </c>
      <c r="K48" s="117">
        <f t="shared" si="39"/>
        <v>6.4</v>
      </c>
      <c r="L48" s="116">
        <f t="shared" si="40"/>
        <v>6.4</v>
      </c>
      <c r="M48" s="116">
        <f t="shared" si="41"/>
        <v>0</v>
      </c>
      <c r="N48" s="126">
        <f t="shared" si="42"/>
        <v>5.6</v>
      </c>
      <c r="O48" s="116">
        <f t="shared" si="43"/>
        <v>6.4</v>
      </c>
      <c r="P48" s="126">
        <f t="shared" si="44"/>
        <v>6</v>
      </c>
      <c r="Q48" s="126">
        <f t="shared" si="45"/>
        <v>1.2000000000000002</v>
      </c>
      <c r="R48" s="127">
        <f>(2*ปร.4_1!$W$12)*B48</f>
        <v>0</v>
      </c>
      <c r="S48" s="127">
        <f>ปร.4_1!$Z$13*Soil!B48</f>
        <v>0</v>
      </c>
      <c r="T48" s="128">
        <f t="shared" si="46"/>
        <v>0</v>
      </c>
      <c r="U48" s="128">
        <f t="shared" si="47"/>
        <v>0</v>
      </c>
      <c r="V48" s="128">
        <f t="shared" si="48"/>
        <v>5</v>
      </c>
      <c r="W48" s="128">
        <f t="shared" si="49"/>
        <v>5.6</v>
      </c>
      <c r="X48" s="128">
        <f t="shared" si="50"/>
        <v>5.3</v>
      </c>
      <c r="Y48" s="128">
        <f t="shared" si="51"/>
        <v>0.79499999999999993</v>
      </c>
      <c r="Z48" s="129">
        <f t="shared" si="52"/>
        <v>0</v>
      </c>
      <c r="AA48" s="128">
        <f t="shared" si="53"/>
        <v>0</v>
      </c>
      <c r="AB48" s="130">
        <f t="shared" si="54"/>
        <v>0</v>
      </c>
      <c r="AC48" s="131">
        <f t="shared" si="55"/>
        <v>0</v>
      </c>
    </row>
    <row r="49" spans="1:29" hidden="1">
      <c r="A49" s="122">
        <f t="shared" si="34"/>
        <v>840</v>
      </c>
      <c r="B49" s="123">
        <v>0</v>
      </c>
      <c r="C49" s="113"/>
      <c r="D49" s="113"/>
      <c r="E49" s="124">
        <f t="shared" si="35"/>
        <v>0</v>
      </c>
      <c r="F49" s="124">
        <f t="shared" si="36"/>
        <v>0</v>
      </c>
      <c r="G49" s="125">
        <f t="shared" ref="G49:G80" si="56">G48</f>
        <v>5</v>
      </c>
      <c r="H49" s="125">
        <f t="shared" ref="H49:H80" si="57">H48</f>
        <v>0</v>
      </c>
      <c r="I49" s="126">
        <f t="shared" si="37"/>
        <v>5</v>
      </c>
      <c r="J49" s="116">
        <f t="shared" si="38"/>
        <v>6.4</v>
      </c>
      <c r="K49" s="117">
        <f t="shared" si="39"/>
        <v>6.4</v>
      </c>
      <c r="L49" s="116">
        <f t="shared" si="40"/>
        <v>6.4</v>
      </c>
      <c r="M49" s="116">
        <f t="shared" si="41"/>
        <v>0</v>
      </c>
      <c r="N49" s="126">
        <f t="shared" si="42"/>
        <v>5.6</v>
      </c>
      <c r="O49" s="116">
        <f t="shared" si="43"/>
        <v>6.4</v>
      </c>
      <c r="P49" s="126">
        <f t="shared" si="44"/>
        <v>6</v>
      </c>
      <c r="Q49" s="126">
        <f t="shared" si="45"/>
        <v>1.2000000000000002</v>
      </c>
      <c r="R49" s="127">
        <f>(2*ปร.4_1!$W$12)*B49</f>
        <v>0</v>
      </c>
      <c r="S49" s="127">
        <f>ปร.4_1!$Z$13*Soil!B49</f>
        <v>0</v>
      </c>
      <c r="T49" s="128">
        <f t="shared" si="46"/>
        <v>0</v>
      </c>
      <c r="U49" s="128">
        <f t="shared" si="47"/>
        <v>0</v>
      </c>
      <c r="V49" s="128">
        <f t="shared" si="48"/>
        <v>5</v>
      </c>
      <c r="W49" s="128">
        <f t="shared" si="49"/>
        <v>5.6</v>
      </c>
      <c r="X49" s="128">
        <f t="shared" si="50"/>
        <v>5.3</v>
      </c>
      <c r="Y49" s="128">
        <f t="shared" si="51"/>
        <v>0.79499999999999993</v>
      </c>
      <c r="Z49" s="129">
        <f t="shared" si="52"/>
        <v>0</v>
      </c>
      <c r="AA49" s="128">
        <f t="shared" si="53"/>
        <v>0</v>
      </c>
      <c r="AB49" s="130">
        <f t="shared" si="54"/>
        <v>0</v>
      </c>
      <c r="AC49" s="131">
        <f t="shared" si="55"/>
        <v>0</v>
      </c>
    </row>
    <row r="50" spans="1:29" hidden="1">
      <c r="A50" s="122">
        <f t="shared" si="34"/>
        <v>840</v>
      </c>
      <c r="B50" s="123">
        <v>0</v>
      </c>
      <c r="C50" s="113"/>
      <c r="D50" s="113"/>
      <c r="E50" s="124">
        <f t="shared" si="35"/>
        <v>0</v>
      </c>
      <c r="F50" s="124">
        <f t="shared" si="36"/>
        <v>0</v>
      </c>
      <c r="G50" s="125">
        <f t="shared" si="56"/>
        <v>5</v>
      </c>
      <c r="H50" s="125">
        <f t="shared" si="57"/>
        <v>0</v>
      </c>
      <c r="I50" s="126">
        <f t="shared" si="37"/>
        <v>5</v>
      </c>
      <c r="J50" s="116">
        <f t="shared" si="38"/>
        <v>6.4</v>
      </c>
      <c r="K50" s="117">
        <f t="shared" si="39"/>
        <v>6.4</v>
      </c>
      <c r="L50" s="116">
        <f t="shared" si="40"/>
        <v>6.4</v>
      </c>
      <c r="M50" s="116">
        <f t="shared" si="41"/>
        <v>0</v>
      </c>
      <c r="N50" s="126">
        <f t="shared" si="42"/>
        <v>5.6</v>
      </c>
      <c r="O50" s="116">
        <f t="shared" si="43"/>
        <v>6.4</v>
      </c>
      <c r="P50" s="126">
        <f t="shared" si="44"/>
        <v>6</v>
      </c>
      <c r="Q50" s="126">
        <f t="shared" si="45"/>
        <v>1.2000000000000002</v>
      </c>
      <c r="R50" s="127">
        <f>(2*ปร.4_1!$W$12)*B50</f>
        <v>0</v>
      </c>
      <c r="S50" s="127">
        <f>ปร.4_1!$Z$13*Soil!B50</f>
        <v>0</v>
      </c>
      <c r="T50" s="128">
        <f t="shared" si="46"/>
        <v>0</v>
      </c>
      <c r="U50" s="128">
        <f t="shared" si="47"/>
        <v>0</v>
      </c>
      <c r="V50" s="128">
        <f t="shared" si="48"/>
        <v>5</v>
      </c>
      <c r="W50" s="128">
        <f t="shared" si="49"/>
        <v>5.6</v>
      </c>
      <c r="X50" s="128">
        <f t="shared" si="50"/>
        <v>5.3</v>
      </c>
      <c r="Y50" s="128">
        <f t="shared" si="51"/>
        <v>0.79499999999999993</v>
      </c>
      <c r="Z50" s="129">
        <f t="shared" si="52"/>
        <v>0</v>
      </c>
      <c r="AA50" s="128">
        <f t="shared" si="53"/>
        <v>0</v>
      </c>
      <c r="AB50" s="130">
        <f t="shared" si="54"/>
        <v>0</v>
      </c>
      <c r="AC50" s="131">
        <f t="shared" si="55"/>
        <v>0</v>
      </c>
    </row>
    <row r="51" spans="1:29" hidden="1">
      <c r="A51" s="122">
        <f t="shared" si="34"/>
        <v>840</v>
      </c>
      <c r="B51" s="123">
        <v>0</v>
      </c>
      <c r="C51" s="113"/>
      <c r="D51" s="113"/>
      <c r="E51" s="124">
        <f t="shared" si="35"/>
        <v>0</v>
      </c>
      <c r="F51" s="124">
        <f t="shared" si="36"/>
        <v>0</v>
      </c>
      <c r="G51" s="125">
        <f t="shared" si="56"/>
        <v>5</v>
      </c>
      <c r="H51" s="125">
        <f t="shared" si="57"/>
        <v>0</v>
      </c>
      <c r="I51" s="126">
        <f t="shared" si="37"/>
        <v>5</v>
      </c>
      <c r="J51" s="116">
        <f t="shared" si="38"/>
        <v>6.4</v>
      </c>
      <c r="K51" s="117">
        <f t="shared" si="39"/>
        <v>6.4</v>
      </c>
      <c r="L51" s="116">
        <f t="shared" si="40"/>
        <v>6.4</v>
      </c>
      <c r="M51" s="116">
        <f t="shared" si="41"/>
        <v>0</v>
      </c>
      <c r="N51" s="126">
        <f t="shared" si="42"/>
        <v>5.6</v>
      </c>
      <c r="O51" s="116">
        <f t="shared" si="43"/>
        <v>6.4</v>
      </c>
      <c r="P51" s="126">
        <f t="shared" si="44"/>
        <v>6</v>
      </c>
      <c r="Q51" s="126">
        <f t="shared" si="45"/>
        <v>1.2000000000000002</v>
      </c>
      <c r="R51" s="127">
        <f>(2*ปร.4_1!$W$12)*B51</f>
        <v>0</v>
      </c>
      <c r="S51" s="127">
        <f>ปร.4_1!$Z$13*Soil!B51</f>
        <v>0</v>
      </c>
      <c r="T51" s="128">
        <f t="shared" si="46"/>
        <v>0</v>
      </c>
      <c r="U51" s="128">
        <f t="shared" si="47"/>
        <v>0</v>
      </c>
      <c r="V51" s="128">
        <f t="shared" si="48"/>
        <v>5</v>
      </c>
      <c r="W51" s="128">
        <f t="shared" si="49"/>
        <v>5.6</v>
      </c>
      <c r="X51" s="128">
        <f t="shared" si="50"/>
        <v>5.3</v>
      </c>
      <c r="Y51" s="128">
        <f t="shared" si="51"/>
        <v>0.79499999999999993</v>
      </c>
      <c r="Z51" s="129">
        <f t="shared" si="52"/>
        <v>0</v>
      </c>
      <c r="AA51" s="128">
        <f t="shared" si="53"/>
        <v>0</v>
      </c>
      <c r="AB51" s="130">
        <f t="shared" si="54"/>
        <v>0</v>
      </c>
      <c r="AC51" s="131">
        <f t="shared" si="55"/>
        <v>0</v>
      </c>
    </row>
    <row r="52" spans="1:29" hidden="1">
      <c r="A52" s="122">
        <f t="shared" si="34"/>
        <v>840</v>
      </c>
      <c r="B52" s="123">
        <v>0</v>
      </c>
      <c r="C52" s="113"/>
      <c r="D52" s="113"/>
      <c r="E52" s="124">
        <f t="shared" si="35"/>
        <v>0</v>
      </c>
      <c r="F52" s="124">
        <f t="shared" si="36"/>
        <v>0</v>
      </c>
      <c r="G52" s="125">
        <f t="shared" si="56"/>
        <v>5</v>
      </c>
      <c r="H52" s="125">
        <f t="shared" si="57"/>
        <v>0</v>
      </c>
      <c r="I52" s="126">
        <f t="shared" si="37"/>
        <v>5</v>
      </c>
      <c r="J52" s="116">
        <f t="shared" si="38"/>
        <v>6.4</v>
      </c>
      <c r="K52" s="117">
        <f t="shared" si="39"/>
        <v>6.4</v>
      </c>
      <c r="L52" s="116">
        <f t="shared" si="40"/>
        <v>6.4</v>
      </c>
      <c r="M52" s="116">
        <f t="shared" si="41"/>
        <v>0</v>
      </c>
      <c r="N52" s="126">
        <f t="shared" si="42"/>
        <v>5.6</v>
      </c>
      <c r="O52" s="116">
        <f t="shared" si="43"/>
        <v>6.4</v>
      </c>
      <c r="P52" s="126">
        <f t="shared" si="44"/>
        <v>6</v>
      </c>
      <c r="Q52" s="126">
        <f t="shared" si="45"/>
        <v>1.2000000000000002</v>
      </c>
      <c r="R52" s="127">
        <f>(2*ปร.4_1!$W$12)*B52</f>
        <v>0</v>
      </c>
      <c r="S52" s="127">
        <f>ปร.4_1!$Z$13*Soil!B52</f>
        <v>0</v>
      </c>
      <c r="T52" s="128">
        <f t="shared" si="46"/>
        <v>0</v>
      </c>
      <c r="U52" s="128">
        <f t="shared" si="47"/>
        <v>0</v>
      </c>
      <c r="V52" s="128">
        <f t="shared" si="48"/>
        <v>5</v>
      </c>
      <c r="W52" s="128">
        <f t="shared" si="49"/>
        <v>5.6</v>
      </c>
      <c r="X52" s="128">
        <f t="shared" si="50"/>
        <v>5.3</v>
      </c>
      <c r="Y52" s="128">
        <f t="shared" si="51"/>
        <v>0.79499999999999993</v>
      </c>
      <c r="Z52" s="129">
        <f t="shared" si="52"/>
        <v>0</v>
      </c>
      <c r="AA52" s="128">
        <f t="shared" si="53"/>
        <v>0</v>
      </c>
      <c r="AB52" s="130">
        <f t="shared" si="54"/>
        <v>0</v>
      </c>
      <c r="AC52" s="131">
        <f t="shared" si="55"/>
        <v>0</v>
      </c>
    </row>
    <row r="53" spans="1:29" hidden="1">
      <c r="A53" s="122">
        <f t="shared" si="34"/>
        <v>840</v>
      </c>
      <c r="B53" s="123">
        <v>0</v>
      </c>
      <c r="C53" s="113"/>
      <c r="D53" s="113"/>
      <c r="E53" s="124">
        <f t="shared" si="35"/>
        <v>0</v>
      </c>
      <c r="F53" s="124">
        <f t="shared" si="36"/>
        <v>0</v>
      </c>
      <c r="G53" s="125">
        <f t="shared" si="56"/>
        <v>5</v>
      </c>
      <c r="H53" s="125">
        <f t="shared" si="57"/>
        <v>0</v>
      </c>
      <c r="I53" s="126">
        <f t="shared" si="37"/>
        <v>5</v>
      </c>
      <c r="J53" s="116">
        <f t="shared" si="38"/>
        <v>6.4</v>
      </c>
      <c r="K53" s="117">
        <f t="shared" si="39"/>
        <v>6.4</v>
      </c>
      <c r="L53" s="116">
        <f t="shared" si="40"/>
        <v>6.4</v>
      </c>
      <c r="M53" s="116">
        <f t="shared" si="41"/>
        <v>0</v>
      </c>
      <c r="N53" s="126">
        <f t="shared" si="42"/>
        <v>5.6</v>
      </c>
      <c r="O53" s="116">
        <f t="shared" si="43"/>
        <v>6.4</v>
      </c>
      <c r="P53" s="126">
        <f t="shared" si="44"/>
        <v>6</v>
      </c>
      <c r="Q53" s="126">
        <f t="shared" si="45"/>
        <v>1.2000000000000002</v>
      </c>
      <c r="R53" s="127">
        <f>(2*ปร.4_1!$W$12)*B53</f>
        <v>0</v>
      </c>
      <c r="S53" s="127">
        <f>ปร.4_1!$Z$13*Soil!B53</f>
        <v>0</v>
      </c>
      <c r="T53" s="128">
        <f t="shared" si="46"/>
        <v>0</v>
      </c>
      <c r="U53" s="128">
        <f t="shared" si="47"/>
        <v>0</v>
      </c>
      <c r="V53" s="128">
        <f t="shared" si="48"/>
        <v>5</v>
      </c>
      <c r="W53" s="128">
        <f t="shared" si="49"/>
        <v>5.6</v>
      </c>
      <c r="X53" s="128">
        <f t="shared" si="50"/>
        <v>5.3</v>
      </c>
      <c r="Y53" s="128">
        <f t="shared" si="51"/>
        <v>0.79499999999999993</v>
      </c>
      <c r="Z53" s="129">
        <f t="shared" si="52"/>
        <v>0</v>
      </c>
      <c r="AA53" s="128">
        <f t="shared" si="53"/>
        <v>0</v>
      </c>
      <c r="AB53" s="130">
        <f t="shared" si="54"/>
        <v>0</v>
      </c>
      <c r="AC53" s="131">
        <f t="shared" si="55"/>
        <v>0</v>
      </c>
    </row>
    <row r="54" spans="1:29" hidden="1">
      <c r="A54" s="122">
        <f t="shared" si="34"/>
        <v>840</v>
      </c>
      <c r="B54" s="123">
        <v>0</v>
      </c>
      <c r="C54" s="113"/>
      <c r="D54" s="113"/>
      <c r="E54" s="124">
        <f t="shared" si="35"/>
        <v>0</v>
      </c>
      <c r="F54" s="124">
        <f t="shared" si="36"/>
        <v>0</v>
      </c>
      <c r="G54" s="125">
        <f t="shared" si="56"/>
        <v>5</v>
      </c>
      <c r="H54" s="125">
        <f t="shared" si="57"/>
        <v>0</v>
      </c>
      <c r="I54" s="126">
        <f t="shared" si="37"/>
        <v>5</v>
      </c>
      <c r="J54" s="116">
        <f t="shared" si="38"/>
        <v>6.4</v>
      </c>
      <c r="K54" s="117">
        <f t="shared" si="39"/>
        <v>6.4</v>
      </c>
      <c r="L54" s="116">
        <f t="shared" si="40"/>
        <v>6.4</v>
      </c>
      <c r="M54" s="116">
        <f t="shared" si="41"/>
        <v>0</v>
      </c>
      <c r="N54" s="126">
        <f t="shared" si="42"/>
        <v>5.6</v>
      </c>
      <c r="O54" s="116">
        <f t="shared" si="43"/>
        <v>6.4</v>
      </c>
      <c r="P54" s="126">
        <f t="shared" si="44"/>
        <v>6</v>
      </c>
      <c r="Q54" s="126">
        <f t="shared" si="45"/>
        <v>1.2000000000000002</v>
      </c>
      <c r="R54" s="127">
        <f>(2*ปร.4_1!$W$12)*B54</f>
        <v>0</v>
      </c>
      <c r="S54" s="127">
        <f>ปร.4_1!$Z$13*Soil!B54</f>
        <v>0</v>
      </c>
      <c r="T54" s="128">
        <f t="shared" si="46"/>
        <v>0</v>
      </c>
      <c r="U54" s="128">
        <f t="shared" si="47"/>
        <v>0</v>
      </c>
      <c r="V54" s="128">
        <f t="shared" si="48"/>
        <v>5</v>
      </c>
      <c r="W54" s="128">
        <f t="shared" si="49"/>
        <v>5.6</v>
      </c>
      <c r="X54" s="128">
        <f t="shared" si="50"/>
        <v>5.3</v>
      </c>
      <c r="Y54" s="128">
        <f t="shared" si="51"/>
        <v>0.79499999999999993</v>
      </c>
      <c r="Z54" s="129">
        <f t="shared" si="52"/>
        <v>0</v>
      </c>
      <c r="AA54" s="128">
        <f t="shared" si="53"/>
        <v>0</v>
      </c>
      <c r="AB54" s="130">
        <f t="shared" si="54"/>
        <v>0</v>
      </c>
      <c r="AC54" s="131">
        <f t="shared" si="55"/>
        <v>0</v>
      </c>
    </row>
    <row r="55" spans="1:29" hidden="1">
      <c r="A55" s="122">
        <f t="shared" si="34"/>
        <v>840</v>
      </c>
      <c r="B55" s="123">
        <v>0</v>
      </c>
      <c r="C55" s="113"/>
      <c r="D55" s="113"/>
      <c r="E55" s="124">
        <f t="shared" si="35"/>
        <v>0</v>
      </c>
      <c r="F55" s="124">
        <f t="shared" si="36"/>
        <v>0</v>
      </c>
      <c r="G55" s="125">
        <f t="shared" si="56"/>
        <v>5</v>
      </c>
      <c r="H55" s="125">
        <f t="shared" si="57"/>
        <v>0</v>
      </c>
      <c r="I55" s="126">
        <f t="shared" si="37"/>
        <v>5</v>
      </c>
      <c r="J55" s="116">
        <f t="shared" si="38"/>
        <v>6.4</v>
      </c>
      <c r="K55" s="117">
        <f t="shared" si="39"/>
        <v>6.4</v>
      </c>
      <c r="L55" s="116">
        <f t="shared" si="40"/>
        <v>6.4</v>
      </c>
      <c r="M55" s="116">
        <f t="shared" si="41"/>
        <v>0</v>
      </c>
      <c r="N55" s="126">
        <f t="shared" si="42"/>
        <v>5.6</v>
      </c>
      <c r="O55" s="116">
        <f t="shared" si="43"/>
        <v>6.4</v>
      </c>
      <c r="P55" s="126">
        <f t="shared" si="44"/>
        <v>6</v>
      </c>
      <c r="Q55" s="126">
        <f t="shared" si="45"/>
        <v>1.2000000000000002</v>
      </c>
      <c r="R55" s="127">
        <f>(2*ปร.4_1!$W$12)*B55</f>
        <v>0</v>
      </c>
      <c r="S55" s="127">
        <f>ปร.4_1!$Z$13*Soil!B55</f>
        <v>0</v>
      </c>
      <c r="T55" s="128">
        <f t="shared" si="46"/>
        <v>0</v>
      </c>
      <c r="U55" s="128">
        <f t="shared" si="47"/>
        <v>0</v>
      </c>
      <c r="V55" s="128">
        <f t="shared" si="48"/>
        <v>5</v>
      </c>
      <c r="W55" s="128">
        <f t="shared" si="49"/>
        <v>5.6</v>
      </c>
      <c r="X55" s="128">
        <f t="shared" si="50"/>
        <v>5.3</v>
      </c>
      <c r="Y55" s="128">
        <f t="shared" si="51"/>
        <v>0.79499999999999993</v>
      </c>
      <c r="Z55" s="129">
        <f t="shared" si="52"/>
        <v>0</v>
      </c>
      <c r="AA55" s="128">
        <f t="shared" si="53"/>
        <v>0</v>
      </c>
      <c r="AB55" s="130">
        <f t="shared" si="54"/>
        <v>0</v>
      </c>
      <c r="AC55" s="131">
        <f t="shared" si="55"/>
        <v>0</v>
      </c>
    </row>
    <row r="56" spans="1:29" hidden="1">
      <c r="A56" s="122">
        <f t="shared" si="34"/>
        <v>840</v>
      </c>
      <c r="B56" s="123">
        <v>0</v>
      </c>
      <c r="C56" s="113"/>
      <c r="D56" s="113"/>
      <c r="E56" s="124">
        <f t="shared" si="35"/>
        <v>0</v>
      </c>
      <c r="F56" s="124">
        <f t="shared" si="36"/>
        <v>0</v>
      </c>
      <c r="G56" s="125">
        <f t="shared" si="56"/>
        <v>5</v>
      </c>
      <c r="H56" s="125">
        <f t="shared" si="57"/>
        <v>0</v>
      </c>
      <c r="I56" s="126">
        <f t="shared" si="37"/>
        <v>5</v>
      </c>
      <c r="J56" s="116">
        <f t="shared" si="38"/>
        <v>6.4</v>
      </c>
      <c r="K56" s="117">
        <f t="shared" si="39"/>
        <v>6.4</v>
      </c>
      <c r="L56" s="116">
        <f t="shared" si="40"/>
        <v>6.4</v>
      </c>
      <c r="M56" s="116">
        <f t="shared" si="41"/>
        <v>0</v>
      </c>
      <c r="N56" s="126">
        <f t="shared" si="42"/>
        <v>5.6</v>
      </c>
      <c r="O56" s="116">
        <f t="shared" si="43"/>
        <v>6.4</v>
      </c>
      <c r="P56" s="126">
        <f t="shared" si="44"/>
        <v>6</v>
      </c>
      <c r="Q56" s="126">
        <f t="shared" si="45"/>
        <v>1.2000000000000002</v>
      </c>
      <c r="R56" s="127">
        <f>(2*ปร.4_1!$W$12)*B56</f>
        <v>0</v>
      </c>
      <c r="S56" s="127">
        <f>ปร.4_1!$Z$13*Soil!B56</f>
        <v>0</v>
      </c>
      <c r="T56" s="128">
        <f t="shared" si="46"/>
        <v>0</v>
      </c>
      <c r="U56" s="128">
        <f t="shared" si="47"/>
        <v>0</v>
      </c>
      <c r="V56" s="128">
        <f t="shared" si="48"/>
        <v>5</v>
      </c>
      <c r="W56" s="128">
        <f t="shared" si="49"/>
        <v>5.6</v>
      </c>
      <c r="X56" s="128">
        <f t="shared" si="50"/>
        <v>5.3</v>
      </c>
      <c r="Y56" s="128">
        <f t="shared" si="51"/>
        <v>0.79499999999999993</v>
      </c>
      <c r="Z56" s="129">
        <f t="shared" si="52"/>
        <v>0</v>
      </c>
      <c r="AA56" s="128">
        <f t="shared" si="53"/>
        <v>0</v>
      </c>
      <c r="AB56" s="130">
        <f t="shared" si="54"/>
        <v>0</v>
      </c>
      <c r="AC56" s="131">
        <f t="shared" si="55"/>
        <v>0</v>
      </c>
    </row>
    <row r="57" spans="1:29" hidden="1">
      <c r="A57" s="122">
        <f t="shared" si="34"/>
        <v>840</v>
      </c>
      <c r="B57" s="123">
        <v>0</v>
      </c>
      <c r="C57" s="113"/>
      <c r="D57" s="113"/>
      <c r="E57" s="124">
        <f t="shared" si="35"/>
        <v>0</v>
      </c>
      <c r="F57" s="124">
        <f t="shared" si="36"/>
        <v>0</v>
      </c>
      <c r="G57" s="125">
        <f t="shared" si="56"/>
        <v>5</v>
      </c>
      <c r="H57" s="125">
        <f t="shared" si="57"/>
        <v>0</v>
      </c>
      <c r="I57" s="126">
        <f t="shared" si="37"/>
        <v>5</v>
      </c>
      <c r="J57" s="116">
        <f t="shared" si="38"/>
        <v>6.4</v>
      </c>
      <c r="K57" s="117">
        <f t="shared" si="39"/>
        <v>6.4</v>
      </c>
      <c r="L57" s="116">
        <f t="shared" si="40"/>
        <v>6.4</v>
      </c>
      <c r="M57" s="116">
        <f t="shared" si="41"/>
        <v>0</v>
      </c>
      <c r="N57" s="126">
        <f t="shared" si="42"/>
        <v>5.6</v>
      </c>
      <c r="O57" s="116">
        <f t="shared" si="43"/>
        <v>6.4</v>
      </c>
      <c r="P57" s="126">
        <f t="shared" si="44"/>
        <v>6</v>
      </c>
      <c r="Q57" s="126">
        <f t="shared" si="45"/>
        <v>1.2000000000000002</v>
      </c>
      <c r="R57" s="127">
        <f>(2*ปร.4_1!$W$12)*B57</f>
        <v>0</v>
      </c>
      <c r="S57" s="127">
        <f>ปร.4_1!$Z$13*Soil!B57</f>
        <v>0</v>
      </c>
      <c r="T57" s="128">
        <f t="shared" si="46"/>
        <v>0</v>
      </c>
      <c r="U57" s="128">
        <f t="shared" si="47"/>
        <v>0</v>
      </c>
      <c r="V57" s="128">
        <f t="shared" si="48"/>
        <v>5</v>
      </c>
      <c r="W57" s="128">
        <f t="shared" si="49"/>
        <v>5.6</v>
      </c>
      <c r="X57" s="128">
        <f t="shared" si="50"/>
        <v>5.3</v>
      </c>
      <c r="Y57" s="128">
        <f t="shared" si="51"/>
        <v>0.79499999999999993</v>
      </c>
      <c r="Z57" s="129">
        <f t="shared" si="52"/>
        <v>0</v>
      </c>
      <c r="AA57" s="128">
        <f t="shared" si="53"/>
        <v>0</v>
      </c>
      <c r="AB57" s="130">
        <f t="shared" si="54"/>
        <v>0</v>
      </c>
      <c r="AC57" s="131">
        <f t="shared" si="55"/>
        <v>0</v>
      </c>
    </row>
    <row r="58" spans="1:29" hidden="1">
      <c r="A58" s="122">
        <f t="shared" si="34"/>
        <v>840</v>
      </c>
      <c r="B58" s="123">
        <v>0</v>
      </c>
      <c r="C58" s="113"/>
      <c r="D58" s="113"/>
      <c r="E58" s="124">
        <f t="shared" si="35"/>
        <v>0</v>
      </c>
      <c r="F58" s="124">
        <f t="shared" si="36"/>
        <v>0</v>
      </c>
      <c r="G58" s="125">
        <f t="shared" si="56"/>
        <v>5</v>
      </c>
      <c r="H58" s="125">
        <f t="shared" si="57"/>
        <v>0</v>
      </c>
      <c r="I58" s="126">
        <f t="shared" si="37"/>
        <v>5</v>
      </c>
      <c r="J58" s="116">
        <f t="shared" si="38"/>
        <v>6.4</v>
      </c>
      <c r="K58" s="117">
        <f t="shared" si="39"/>
        <v>6.4</v>
      </c>
      <c r="L58" s="116">
        <f t="shared" si="40"/>
        <v>6.4</v>
      </c>
      <c r="M58" s="116">
        <f t="shared" si="41"/>
        <v>0</v>
      </c>
      <c r="N58" s="126">
        <f t="shared" si="42"/>
        <v>5.6</v>
      </c>
      <c r="O58" s="116">
        <f t="shared" si="43"/>
        <v>6.4</v>
      </c>
      <c r="P58" s="126">
        <f t="shared" si="44"/>
        <v>6</v>
      </c>
      <c r="Q58" s="126">
        <f t="shared" si="45"/>
        <v>1.2000000000000002</v>
      </c>
      <c r="R58" s="127">
        <f>(2*ปร.4_1!$W$12)*B58</f>
        <v>0</v>
      </c>
      <c r="S58" s="127">
        <f>ปร.4_1!$Z$13*Soil!B58</f>
        <v>0</v>
      </c>
      <c r="T58" s="128">
        <f t="shared" si="46"/>
        <v>0</v>
      </c>
      <c r="U58" s="128">
        <f t="shared" si="47"/>
        <v>0</v>
      </c>
      <c r="V58" s="128">
        <f t="shared" si="48"/>
        <v>5</v>
      </c>
      <c r="W58" s="128">
        <f t="shared" si="49"/>
        <v>5.6</v>
      </c>
      <c r="X58" s="128">
        <f t="shared" si="50"/>
        <v>5.3</v>
      </c>
      <c r="Y58" s="128">
        <f t="shared" si="51"/>
        <v>0.79499999999999993</v>
      </c>
      <c r="Z58" s="129">
        <f t="shared" si="52"/>
        <v>0</v>
      </c>
      <c r="AA58" s="128">
        <f t="shared" si="53"/>
        <v>0</v>
      </c>
      <c r="AB58" s="130">
        <f t="shared" si="54"/>
        <v>0</v>
      </c>
      <c r="AC58" s="131">
        <f t="shared" si="55"/>
        <v>0</v>
      </c>
    </row>
    <row r="59" spans="1:29" hidden="1">
      <c r="A59" s="122">
        <f t="shared" si="34"/>
        <v>840</v>
      </c>
      <c r="B59" s="123">
        <v>0</v>
      </c>
      <c r="C59" s="113"/>
      <c r="D59" s="113"/>
      <c r="E59" s="124">
        <f t="shared" si="35"/>
        <v>0</v>
      </c>
      <c r="F59" s="124">
        <f t="shared" si="36"/>
        <v>0</v>
      </c>
      <c r="G59" s="125">
        <f t="shared" si="56"/>
        <v>5</v>
      </c>
      <c r="H59" s="125">
        <f t="shared" si="57"/>
        <v>0</v>
      </c>
      <c r="I59" s="126">
        <f t="shared" si="37"/>
        <v>5</v>
      </c>
      <c r="J59" s="116">
        <f t="shared" si="38"/>
        <v>6.4</v>
      </c>
      <c r="K59" s="117">
        <f t="shared" si="39"/>
        <v>6.4</v>
      </c>
      <c r="L59" s="116">
        <f t="shared" si="40"/>
        <v>6.4</v>
      </c>
      <c r="M59" s="116">
        <f t="shared" si="41"/>
        <v>0</v>
      </c>
      <c r="N59" s="126">
        <f t="shared" si="42"/>
        <v>5.6</v>
      </c>
      <c r="O59" s="116">
        <f t="shared" si="43"/>
        <v>6.4</v>
      </c>
      <c r="P59" s="126">
        <f t="shared" si="44"/>
        <v>6</v>
      </c>
      <c r="Q59" s="126">
        <f t="shared" si="45"/>
        <v>1.2000000000000002</v>
      </c>
      <c r="R59" s="127">
        <f>(2*ปร.4_1!$W$12)*B59</f>
        <v>0</v>
      </c>
      <c r="S59" s="127">
        <f>ปร.4_1!$Z$13*Soil!B59</f>
        <v>0</v>
      </c>
      <c r="T59" s="128">
        <f t="shared" si="46"/>
        <v>0</v>
      </c>
      <c r="U59" s="128">
        <f t="shared" si="47"/>
        <v>0</v>
      </c>
      <c r="V59" s="128">
        <f t="shared" si="48"/>
        <v>5</v>
      </c>
      <c r="W59" s="128">
        <f t="shared" si="49"/>
        <v>5.6</v>
      </c>
      <c r="X59" s="128">
        <f t="shared" si="50"/>
        <v>5.3</v>
      </c>
      <c r="Y59" s="128">
        <f t="shared" si="51"/>
        <v>0.79499999999999993</v>
      </c>
      <c r="Z59" s="129">
        <f t="shared" si="52"/>
        <v>0</v>
      </c>
      <c r="AA59" s="128">
        <f t="shared" si="53"/>
        <v>0</v>
      </c>
      <c r="AB59" s="130">
        <f t="shared" si="54"/>
        <v>0</v>
      </c>
      <c r="AC59" s="131">
        <f t="shared" si="55"/>
        <v>0</v>
      </c>
    </row>
    <row r="60" spans="1:29" hidden="1">
      <c r="A60" s="122">
        <f t="shared" si="34"/>
        <v>840</v>
      </c>
      <c r="B60" s="123">
        <v>0</v>
      </c>
      <c r="C60" s="113"/>
      <c r="D60" s="113"/>
      <c r="E60" s="124">
        <f t="shared" si="35"/>
        <v>0</v>
      </c>
      <c r="F60" s="124">
        <f t="shared" si="36"/>
        <v>0</v>
      </c>
      <c r="G60" s="125">
        <f t="shared" si="56"/>
        <v>5</v>
      </c>
      <c r="H60" s="125">
        <f t="shared" si="57"/>
        <v>0</v>
      </c>
      <c r="I60" s="126">
        <f t="shared" si="37"/>
        <v>5</v>
      </c>
      <c r="J60" s="116">
        <f t="shared" si="38"/>
        <v>6.4</v>
      </c>
      <c r="K60" s="117">
        <f t="shared" si="39"/>
        <v>6.4</v>
      </c>
      <c r="L60" s="116">
        <f t="shared" si="40"/>
        <v>6.4</v>
      </c>
      <c r="M60" s="116">
        <f t="shared" si="41"/>
        <v>0</v>
      </c>
      <c r="N60" s="126">
        <f t="shared" si="42"/>
        <v>5.6</v>
      </c>
      <c r="O60" s="116">
        <f t="shared" si="43"/>
        <v>6.4</v>
      </c>
      <c r="P60" s="126">
        <f t="shared" si="44"/>
        <v>6</v>
      </c>
      <c r="Q60" s="126">
        <f t="shared" si="45"/>
        <v>1.2000000000000002</v>
      </c>
      <c r="R60" s="127">
        <f>(2*ปร.4_1!$W$12)*B60</f>
        <v>0</v>
      </c>
      <c r="S60" s="127">
        <f>ปร.4_1!$Z$13*Soil!B60</f>
        <v>0</v>
      </c>
      <c r="T60" s="128">
        <f t="shared" si="46"/>
        <v>0</v>
      </c>
      <c r="U60" s="128">
        <f t="shared" si="47"/>
        <v>0</v>
      </c>
      <c r="V60" s="128">
        <f t="shared" si="48"/>
        <v>5</v>
      </c>
      <c r="W60" s="128">
        <f t="shared" si="49"/>
        <v>5.6</v>
      </c>
      <c r="X60" s="128">
        <f t="shared" si="50"/>
        <v>5.3</v>
      </c>
      <c r="Y60" s="128">
        <f t="shared" si="51"/>
        <v>0.79499999999999993</v>
      </c>
      <c r="Z60" s="129">
        <f t="shared" si="52"/>
        <v>0</v>
      </c>
      <c r="AA60" s="128">
        <f t="shared" si="53"/>
        <v>0</v>
      </c>
      <c r="AB60" s="130">
        <f t="shared" si="54"/>
        <v>0</v>
      </c>
      <c r="AC60" s="131">
        <f t="shared" si="55"/>
        <v>0</v>
      </c>
    </row>
    <row r="61" spans="1:29" hidden="1">
      <c r="A61" s="122">
        <f t="shared" si="34"/>
        <v>840</v>
      </c>
      <c r="B61" s="123">
        <v>0</v>
      </c>
      <c r="C61" s="113"/>
      <c r="D61" s="113"/>
      <c r="E61" s="124">
        <f t="shared" si="35"/>
        <v>0</v>
      </c>
      <c r="F61" s="124">
        <f t="shared" si="36"/>
        <v>0</v>
      </c>
      <c r="G61" s="125">
        <f t="shared" si="56"/>
        <v>5</v>
      </c>
      <c r="H61" s="125">
        <f t="shared" si="57"/>
        <v>0</v>
      </c>
      <c r="I61" s="126">
        <f t="shared" si="37"/>
        <v>5</v>
      </c>
      <c r="J61" s="116">
        <f t="shared" si="38"/>
        <v>6.4</v>
      </c>
      <c r="K61" s="117">
        <f t="shared" si="39"/>
        <v>6.4</v>
      </c>
      <c r="L61" s="116">
        <f t="shared" si="40"/>
        <v>6.4</v>
      </c>
      <c r="M61" s="116">
        <f t="shared" si="41"/>
        <v>0</v>
      </c>
      <c r="N61" s="126">
        <f t="shared" si="42"/>
        <v>5.6</v>
      </c>
      <c r="O61" s="116">
        <f t="shared" si="43"/>
        <v>6.4</v>
      </c>
      <c r="P61" s="126">
        <f t="shared" si="44"/>
        <v>6</v>
      </c>
      <c r="Q61" s="126">
        <f t="shared" si="45"/>
        <v>1.2000000000000002</v>
      </c>
      <c r="R61" s="127">
        <f>(2*ปร.4_1!$W$12)*B61</f>
        <v>0</v>
      </c>
      <c r="S61" s="127">
        <f>ปร.4_1!$Z$13*Soil!B61</f>
        <v>0</v>
      </c>
      <c r="T61" s="128">
        <f t="shared" si="46"/>
        <v>0</v>
      </c>
      <c r="U61" s="128">
        <f t="shared" si="47"/>
        <v>0</v>
      </c>
      <c r="V61" s="128">
        <f t="shared" si="48"/>
        <v>5</v>
      </c>
      <c r="W61" s="128">
        <f t="shared" si="49"/>
        <v>5.6</v>
      </c>
      <c r="X61" s="128">
        <f t="shared" si="50"/>
        <v>5.3</v>
      </c>
      <c r="Y61" s="128">
        <f t="shared" si="51"/>
        <v>0.79499999999999993</v>
      </c>
      <c r="Z61" s="129">
        <f t="shared" si="52"/>
        <v>0</v>
      </c>
      <c r="AA61" s="128">
        <f t="shared" si="53"/>
        <v>0</v>
      </c>
      <c r="AB61" s="130">
        <f t="shared" si="54"/>
        <v>0</v>
      </c>
      <c r="AC61" s="131">
        <f t="shared" si="55"/>
        <v>0</v>
      </c>
    </row>
    <row r="62" spans="1:29" hidden="1">
      <c r="A62" s="122">
        <f t="shared" si="34"/>
        <v>840</v>
      </c>
      <c r="B62" s="123">
        <v>0</v>
      </c>
      <c r="C62" s="113"/>
      <c r="D62" s="113"/>
      <c r="E62" s="124">
        <f t="shared" si="35"/>
        <v>0</v>
      </c>
      <c r="F62" s="124">
        <f t="shared" si="36"/>
        <v>0</v>
      </c>
      <c r="G62" s="125">
        <f t="shared" si="56"/>
        <v>5</v>
      </c>
      <c r="H62" s="125">
        <f t="shared" si="57"/>
        <v>0</v>
      </c>
      <c r="I62" s="126">
        <f t="shared" si="37"/>
        <v>5</v>
      </c>
      <c r="J62" s="116">
        <f t="shared" si="38"/>
        <v>6.4</v>
      </c>
      <c r="K62" s="117">
        <f t="shared" si="39"/>
        <v>6.4</v>
      </c>
      <c r="L62" s="116">
        <f t="shared" si="40"/>
        <v>6.4</v>
      </c>
      <c r="M62" s="116">
        <f t="shared" si="41"/>
        <v>0</v>
      </c>
      <c r="N62" s="126">
        <f t="shared" si="42"/>
        <v>5.6</v>
      </c>
      <c r="O62" s="116">
        <f t="shared" si="43"/>
        <v>6.4</v>
      </c>
      <c r="P62" s="126">
        <f t="shared" si="44"/>
        <v>6</v>
      </c>
      <c r="Q62" s="126">
        <f t="shared" si="45"/>
        <v>1.2000000000000002</v>
      </c>
      <c r="R62" s="127">
        <f>(2*ปร.4_1!$W$12)*B62</f>
        <v>0</v>
      </c>
      <c r="S62" s="127">
        <f>ปร.4_1!$Z$13*Soil!B62</f>
        <v>0</v>
      </c>
      <c r="T62" s="128">
        <f t="shared" si="46"/>
        <v>0</v>
      </c>
      <c r="U62" s="128">
        <f t="shared" si="47"/>
        <v>0</v>
      </c>
      <c r="V62" s="128">
        <f t="shared" si="48"/>
        <v>5</v>
      </c>
      <c r="W62" s="128">
        <f t="shared" si="49"/>
        <v>5.6</v>
      </c>
      <c r="X62" s="128">
        <f t="shared" si="50"/>
        <v>5.3</v>
      </c>
      <c r="Y62" s="128">
        <f t="shared" si="51"/>
        <v>0.79499999999999993</v>
      </c>
      <c r="Z62" s="129">
        <f t="shared" si="52"/>
        <v>0</v>
      </c>
      <c r="AA62" s="128">
        <f t="shared" si="53"/>
        <v>0</v>
      </c>
      <c r="AB62" s="130">
        <f t="shared" si="54"/>
        <v>0</v>
      </c>
      <c r="AC62" s="131">
        <f t="shared" si="55"/>
        <v>0</v>
      </c>
    </row>
    <row r="63" spans="1:29" hidden="1">
      <c r="A63" s="122">
        <f t="shared" si="34"/>
        <v>840</v>
      </c>
      <c r="B63" s="123">
        <v>0</v>
      </c>
      <c r="C63" s="113"/>
      <c r="D63" s="113"/>
      <c r="E63" s="124">
        <f t="shared" si="35"/>
        <v>0</v>
      </c>
      <c r="F63" s="124">
        <f t="shared" si="36"/>
        <v>0</v>
      </c>
      <c r="G63" s="125">
        <f t="shared" si="56"/>
        <v>5</v>
      </c>
      <c r="H63" s="125">
        <f t="shared" si="57"/>
        <v>0</v>
      </c>
      <c r="I63" s="126">
        <f t="shared" si="37"/>
        <v>5</v>
      </c>
      <c r="J63" s="116">
        <f t="shared" si="38"/>
        <v>6.4</v>
      </c>
      <c r="K63" s="117">
        <f t="shared" si="39"/>
        <v>6.4</v>
      </c>
      <c r="L63" s="116">
        <f t="shared" si="40"/>
        <v>6.4</v>
      </c>
      <c r="M63" s="116">
        <f t="shared" si="41"/>
        <v>0</v>
      </c>
      <c r="N63" s="126">
        <f t="shared" si="42"/>
        <v>5.6</v>
      </c>
      <c r="O63" s="116">
        <f t="shared" si="43"/>
        <v>6.4</v>
      </c>
      <c r="P63" s="126">
        <f t="shared" si="44"/>
        <v>6</v>
      </c>
      <c r="Q63" s="126">
        <f t="shared" si="45"/>
        <v>1.2000000000000002</v>
      </c>
      <c r="R63" s="127">
        <f>(2*ปร.4_1!$W$12)*B63</f>
        <v>0</v>
      </c>
      <c r="S63" s="127">
        <f>ปร.4_1!$Z$13*Soil!B63</f>
        <v>0</v>
      </c>
      <c r="T63" s="128">
        <f t="shared" si="46"/>
        <v>0</v>
      </c>
      <c r="U63" s="128">
        <f t="shared" si="47"/>
        <v>0</v>
      </c>
      <c r="V63" s="128">
        <f t="shared" si="48"/>
        <v>5</v>
      </c>
      <c r="W63" s="128">
        <f t="shared" si="49"/>
        <v>5.6</v>
      </c>
      <c r="X63" s="128">
        <f t="shared" si="50"/>
        <v>5.3</v>
      </c>
      <c r="Y63" s="128">
        <f t="shared" si="51"/>
        <v>0.79499999999999993</v>
      </c>
      <c r="Z63" s="129">
        <f t="shared" si="52"/>
        <v>0</v>
      </c>
      <c r="AA63" s="128">
        <f t="shared" si="53"/>
        <v>0</v>
      </c>
      <c r="AB63" s="130">
        <f t="shared" si="54"/>
        <v>0</v>
      </c>
      <c r="AC63" s="131">
        <f t="shared" si="55"/>
        <v>0</v>
      </c>
    </row>
    <row r="64" spans="1:29" hidden="1">
      <c r="A64" s="122">
        <f t="shared" si="34"/>
        <v>840</v>
      </c>
      <c r="B64" s="123">
        <v>0</v>
      </c>
      <c r="C64" s="113"/>
      <c r="D64" s="113"/>
      <c r="E64" s="124">
        <f t="shared" si="35"/>
        <v>0</v>
      </c>
      <c r="F64" s="124">
        <f t="shared" si="36"/>
        <v>0</v>
      </c>
      <c r="G64" s="125">
        <f t="shared" si="56"/>
        <v>5</v>
      </c>
      <c r="H64" s="125">
        <f t="shared" si="57"/>
        <v>0</v>
      </c>
      <c r="I64" s="126">
        <f t="shared" si="37"/>
        <v>5</v>
      </c>
      <c r="J64" s="116">
        <f t="shared" si="38"/>
        <v>6.4</v>
      </c>
      <c r="K64" s="117">
        <f t="shared" si="39"/>
        <v>6.4</v>
      </c>
      <c r="L64" s="116">
        <f t="shared" si="40"/>
        <v>6.4</v>
      </c>
      <c r="M64" s="116">
        <f t="shared" si="41"/>
        <v>0</v>
      </c>
      <c r="N64" s="126">
        <f t="shared" si="42"/>
        <v>5.6</v>
      </c>
      <c r="O64" s="116">
        <f t="shared" si="43"/>
        <v>6.4</v>
      </c>
      <c r="P64" s="126">
        <f t="shared" si="44"/>
        <v>6</v>
      </c>
      <c r="Q64" s="126">
        <f t="shared" si="45"/>
        <v>1.2000000000000002</v>
      </c>
      <c r="R64" s="127">
        <f>(2*ปร.4_1!$W$12)*B64</f>
        <v>0</v>
      </c>
      <c r="S64" s="127">
        <f>ปร.4_1!$Z$13*Soil!B64</f>
        <v>0</v>
      </c>
      <c r="T64" s="128">
        <f t="shared" si="46"/>
        <v>0</v>
      </c>
      <c r="U64" s="128">
        <f t="shared" si="47"/>
        <v>0</v>
      </c>
      <c r="V64" s="128">
        <f t="shared" si="48"/>
        <v>5</v>
      </c>
      <c r="W64" s="128">
        <f t="shared" si="49"/>
        <v>5.6</v>
      </c>
      <c r="X64" s="128">
        <f t="shared" si="50"/>
        <v>5.3</v>
      </c>
      <c r="Y64" s="128">
        <f t="shared" si="51"/>
        <v>0.79499999999999993</v>
      </c>
      <c r="Z64" s="129">
        <f t="shared" si="52"/>
        <v>0</v>
      </c>
      <c r="AA64" s="128">
        <f t="shared" si="53"/>
        <v>0</v>
      </c>
      <c r="AB64" s="130">
        <f t="shared" si="54"/>
        <v>0</v>
      </c>
      <c r="AC64" s="131">
        <f t="shared" si="55"/>
        <v>0</v>
      </c>
    </row>
    <row r="65" spans="1:29" hidden="1">
      <c r="A65" s="122">
        <f t="shared" si="34"/>
        <v>840</v>
      </c>
      <c r="B65" s="123">
        <v>0</v>
      </c>
      <c r="C65" s="113"/>
      <c r="D65" s="113"/>
      <c r="E65" s="124">
        <f t="shared" si="35"/>
        <v>0</v>
      </c>
      <c r="F65" s="124">
        <f t="shared" si="36"/>
        <v>0</v>
      </c>
      <c r="G65" s="125">
        <f t="shared" si="56"/>
        <v>5</v>
      </c>
      <c r="H65" s="125">
        <f t="shared" si="57"/>
        <v>0</v>
      </c>
      <c r="I65" s="126">
        <f t="shared" si="37"/>
        <v>5</v>
      </c>
      <c r="J65" s="116">
        <f t="shared" si="38"/>
        <v>6.4</v>
      </c>
      <c r="K65" s="117">
        <f t="shared" si="39"/>
        <v>6.4</v>
      </c>
      <c r="L65" s="116">
        <f t="shared" si="40"/>
        <v>6.4</v>
      </c>
      <c r="M65" s="116">
        <f t="shared" si="41"/>
        <v>0</v>
      </c>
      <c r="N65" s="126">
        <f t="shared" si="42"/>
        <v>5.6</v>
      </c>
      <c r="O65" s="116">
        <f t="shared" si="43"/>
        <v>6.4</v>
      </c>
      <c r="P65" s="126">
        <f t="shared" si="44"/>
        <v>6</v>
      </c>
      <c r="Q65" s="126">
        <f t="shared" si="45"/>
        <v>1.2000000000000002</v>
      </c>
      <c r="R65" s="127">
        <f>(2*ปร.4_1!$W$12)*B65</f>
        <v>0</v>
      </c>
      <c r="S65" s="127">
        <f>ปร.4_1!$Z$13*Soil!B65</f>
        <v>0</v>
      </c>
      <c r="T65" s="128">
        <f t="shared" si="46"/>
        <v>0</v>
      </c>
      <c r="U65" s="128">
        <f t="shared" si="47"/>
        <v>0</v>
      </c>
      <c r="V65" s="128">
        <f t="shared" si="48"/>
        <v>5</v>
      </c>
      <c r="W65" s="128">
        <f t="shared" si="49"/>
        <v>5.6</v>
      </c>
      <c r="X65" s="128">
        <f t="shared" si="50"/>
        <v>5.3</v>
      </c>
      <c r="Y65" s="128">
        <f t="shared" si="51"/>
        <v>0.79499999999999993</v>
      </c>
      <c r="Z65" s="129">
        <f t="shared" si="52"/>
        <v>0</v>
      </c>
      <c r="AA65" s="128">
        <f t="shared" si="53"/>
        <v>0</v>
      </c>
      <c r="AB65" s="130">
        <f t="shared" si="54"/>
        <v>0</v>
      </c>
      <c r="AC65" s="131">
        <f t="shared" si="55"/>
        <v>0</v>
      </c>
    </row>
    <row r="66" spans="1:29" hidden="1">
      <c r="A66" s="122">
        <f t="shared" si="34"/>
        <v>840</v>
      </c>
      <c r="B66" s="123">
        <v>0</v>
      </c>
      <c r="C66" s="113"/>
      <c r="D66" s="113"/>
      <c r="E66" s="124">
        <f t="shared" si="35"/>
        <v>0</v>
      </c>
      <c r="F66" s="124">
        <f t="shared" si="36"/>
        <v>0</v>
      </c>
      <c r="G66" s="125">
        <f t="shared" si="56"/>
        <v>5</v>
      </c>
      <c r="H66" s="125">
        <f t="shared" si="57"/>
        <v>0</v>
      </c>
      <c r="I66" s="126">
        <f t="shared" si="37"/>
        <v>5</v>
      </c>
      <c r="J66" s="116">
        <f t="shared" si="38"/>
        <v>6.4</v>
      </c>
      <c r="K66" s="117">
        <f t="shared" si="39"/>
        <v>6.4</v>
      </c>
      <c r="L66" s="116">
        <f t="shared" si="40"/>
        <v>6.4</v>
      </c>
      <c r="M66" s="116">
        <f t="shared" si="41"/>
        <v>0</v>
      </c>
      <c r="N66" s="126">
        <f t="shared" si="42"/>
        <v>5.6</v>
      </c>
      <c r="O66" s="116">
        <f t="shared" si="43"/>
        <v>6.4</v>
      </c>
      <c r="P66" s="126">
        <f t="shared" si="44"/>
        <v>6</v>
      </c>
      <c r="Q66" s="126">
        <f t="shared" si="45"/>
        <v>1.2000000000000002</v>
      </c>
      <c r="R66" s="127">
        <f>(2*ปร.4_1!$W$12)*B66</f>
        <v>0</v>
      </c>
      <c r="S66" s="127">
        <f>ปร.4_1!$Z$13*Soil!B66</f>
        <v>0</v>
      </c>
      <c r="T66" s="128">
        <f t="shared" si="46"/>
        <v>0</v>
      </c>
      <c r="U66" s="128">
        <f t="shared" si="47"/>
        <v>0</v>
      </c>
      <c r="V66" s="128">
        <f t="shared" si="48"/>
        <v>5</v>
      </c>
      <c r="W66" s="128">
        <f t="shared" si="49"/>
        <v>5.6</v>
      </c>
      <c r="X66" s="128">
        <f t="shared" si="50"/>
        <v>5.3</v>
      </c>
      <c r="Y66" s="128">
        <f t="shared" si="51"/>
        <v>0.79499999999999993</v>
      </c>
      <c r="Z66" s="129">
        <f t="shared" si="52"/>
        <v>0</v>
      </c>
      <c r="AA66" s="128">
        <f t="shared" si="53"/>
        <v>0</v>
      </c>
      <c r="AB66" s="130">
        <f t="shared" si="54"/>
        <v>0</v>
      </c>
      <c r="AC66" s="131">
        <f t="shared" si="55"/>
        <v>0</v>
      </c>
    </row>
    <row r="67" spans="1:29" hidden="1">
      <c r="A67" s="122">
        <f t="shared" si="34"/>
        <v>840</v>
      </c>
      <c r="B67" s="123">
        <v>0</v>
      </c>
      <c r="C67" s="113"/>
      <c r="D67" s="113"/>
      <c r="E67" s="124">
        <f t="shared" si="35"/>
        <v>0</v>
      </c>
      <c r="F67" s="124">
        <f t="shared" si="36"/>
        <v>0</v>
      </c>
      <c r="G67" s="125">
        <f t="shared" si="56"/>
        <v>5</v>
      </c>
      <c r="H67" s="125">
        <f t="shared" si="57"/>
        <v>0</v>
      </c>
      <c r="I67" s="126">
        <f t="shared" si="37"/>
        <v>5</v>
      </c>
      <c r="J67" s="116">
        <f t="shared" si="38"/>
        <v>6.4</v>
      </c>
      <c r="K67" s="117">
        <f t="shared" si="39"/>
        <v>6.4</v>
      </c>
      <c r="L67" s="116">
        <f t="shared" si="40"/>
        <v>6.4</v>
      </c>
      <c r="M67" s="116">
        <f t="shared" si="41"/>
        <v>0</v>
      </c>
      <c r="N67" s="126">
        <f t="shared" si="42"/>
        <v>5.6</v>
      </c>
      <c r="O67" s="116">
        <f t="shared" si="43"/>
        <v>6.4</v>
      </c>
      <c r="P67" s="126">
        <f t="shared" si="44"/>
        <v>6</v>
      </c>
      <c r="Q67" s="126">
        <f t="shared" si="45"/>
        <v>1.2000000000000002</v>
      </c>
      <c r="R67" s="127">
        <f>(2*ปร.4_1!$W$12)*B67</f>
        <v>0</v>
      </c>
      <c r="S67" s="127">
        <f>ปร.4_1!$Z$13*Soil!B67</f>
        <v>0</v>
      </c>
      <c r="T67" s="128">
        <f t="shared" si="46"/>
        <v>0</v>
      </c>
      <c r="U67" s="128">
        <f t="shared" si="47"/>
        <v>0</v>
      </c>
      <c r="V67" s="128">
        <f t="shared" si="48"/>
        <v>5</v>
      </c>
      <c r="W67" s="128">
        <f t="shared" si="49"/>
        <v>5.6</v>
      </c>
      <c r="X67" s="128">
        <f t="shared" si="50"/>
        <v>5.3</v>
      </c>
      <c r="Y67" s="128">
        <f t="shared" si="51"/>
        <v>0.79499999999999993</v>
      </c>
      <c r="Z67" s="129">
        <f t="shared" si="52"/>
        <v>0</v>
      </c>
      <c r="AA67" s="128">
        <f t="shared" si="53"/>
        <v>0</v>
      </c>
      <c r="AB67" s="130">
        <f t="shared" si="54"/>
        <v>0</v>
      </c>
      <c r="AC67" s="131">
        <f t="shared" si="55"/>
        <v>0</v>
      </c>
    </row>
    <row r="68" spans="1:29" hidden="1">
      <c r="A68" s="122">
        <f t="shared" si="34"/>
        <v>840</v>
      </c>
      <c r="B68" s="123">
        <v>0</v>
      </c>
      <c r="C68" s="113"/>
      <c r="D68" s="113"/>
      <c r="E68" s="124">
        <f t="shared" si="35"/>
        <v>0</v>
      </c>
      <c r="F68" s="124">
        <f t="shared" si="36"/>
        <v>0</v>
      </c>
      <c r="G68" s="125">
        <f t="shared" si="56"/>
        <v>5</v>
      </c>
      <c r="H68" s="125">
        <f t="shared" si="57"/>
        <v>0</v>
      </c>
      <c r="I68" s="126">
        <f t="shared" si="37"/>
        <v>5</v>
      </c>
      <c r="J68" s="116">
        <f t="shared" si="38"/>
        <v>6.4</v>
      </c>
      <c r="K68" s="117">
        <f t="shared" si="39"/>
        <v>6.4</v>
      </c>
      <c r="L68" s="116">
        <f t="shared" si="40"/>
        <v>6.4</v>
      </c>
      <c r="M68" s="116">
        <f t="shared" si="41"/>
        <v>0</v>
      </c>
      <c r="N68" s="126">
        <f t="shared" si="42"/>
        <v>5.6</v>
      </c>
      <c r="O68" s="116">
        <f t="shared" si="43"/>
        <v>6.4</v>
      </c>
      <c r="P68" s="126">
        <f t="shared" si="44"/>
        <v>6</v>
      </c>
      <c r="Q68" s="126">
        <f t="shared" si="45"/>
        <v>1.2000000000000002</v>
      </c>
      <c r="R68" s="127">
        <f>(2*ปร.4_1!$W$12)*B68</f>
        <v>0</v>
      </c>
      <c r="S68" s="127">
        <f>ปร.4_1!$Z$13*Soil!B68</f>
        <v>0</v>
      </c>
      <c r="T68" s="128">
        <f t="shared" si="46"/>
        <v>0</v>
      </c>
      <c r="U68" s="128">
        <f t="shared" si="47"/>
        <v>0</v>
      </c>
      <c r="V68" s="128">
        <f t="shared" si="48"/>
        <v>5</v>
      </c>
      <c r="W68" s="128">
        <f t="shared" si="49"/>
        <v>5.6</v>
      </c>
      <c r="X68" s="128">
        <f t="shared" si="50"/>
        <v>5.3</v>
      </c>
      <c r="Y68" s="128">
        <f t="shared" si="51"/>
        <v>0.79499999999999993</v>
      </c>
      <c r="Z68" s="129">
        <f t="shared" si="52"/>
        <v>0</v>
      </c>
      <c r="AA68" s="128">
        <f t="shared" si="53"/>
        <v>0</v>
      </c>
      <c r="AB68" s="130">
        <f t="shared" si="54"/>
        <v>0</v>
      </c>
      <c r="AC68" s="131">
        <f t="shared" si="55"/>
        <v>0</v>
      </c>
    </row>
    <row r="69" spans="1:29" hidden="1">
      <c r="A69" s="122">
        <f t="shared" si="34"/>
        <v>840</v>
      </c>
      <c r="B69" s="123">
        <v>0</v>
      </c>
      <c r="C69" s="113"/>
      <c r="D69" s="113"/>
      <c r="E69" s="124">
        <f t="shared" si="35"/>
        <v>0</v>
      </c>
      <c r="F69" s="124">
        <f t="shared" si="36"/>
        <v>0</v>
      </c>
      <c r="G69" s="125">
        <f t="shared" si="56"/>
        <v>5</v>
      </c>
      <c r="H69" s="125">
        <f t="shared" si="57"/>
        <v>0</v>
      </c>
      <c r="I69" s="126">
        <f t="shared" si="37"/>
        <v>5</v>
      </c>
      <c r="J69" s="116">
        <f t="shared" si="38"/>
        <v>6.4</v>
      </c>
      <c r="K69" s="117">
        <f t="shared" si="39"/>
        <v>6.4</v>
      </c>
      <c r="L69" s="116">
        <f t="shared" si="40"/>
        <v>6.4</v>
      </c>
      <c r="M69" s="116">
        <f t="shared" si="41"/>
        <v>0</v>
      </c>
      <c r="N69" s="126">
        <f t="shared" si="42"/>
        <v>5.6</v>
      </c>
      <c r="O69" s="116">
        <f t="shared" si="43"/>
        <v>6.4</v>
      </c>
      <c r="P69" s="126">
        <f t="shared" si="44"/>
        <v>6</v>
      </c>
      <c r="Q69" s="126">
        <f t="shared" si="45"/>
        <v>1.2000000000000002</v>
      </c>
      <c r="R69" s="127">
        <f>(2*ปร.4_1!$W$12)*B69</f>
        <v>0</v>
      </c>
      <c r="S69" s="127">
        <f>ปร.4_1!$Z$13*Soil!B69</f>
        <v>0</v>
      </c>
      <c r="T69" s="128">
        <f t="shared" si="46"/>
        <v>0</v>
      </c>
      <c r="U69" s="128">
        <f t="shared" si="47"/>
        <v>0</v>
      </c>
      <c r="V69" s="128">
        <f t="shared" si="48"/>
        <v>5</v>
      </c>
      <c r="W69" s="128">
        <f t="shared" si="49"/>
        <v>5.6</v>
      </c>
      <c r="X69" s="128">
        <f t="shared" si="50"/>
        <v>5.3</v>
      </c>
      <c r="Y69" s="128">
        <f t="shared" si="51"/>
        <v>0.79499999999999993</v>
      </c>
      <c r="Z69" s="129">
        <f t="shared" si="52"/>
        <v>0</v>
      </c>
      <c r="AA69" s="128">
        <f t="shared" si="53"/>
        <v>0</v>
      </c>
      <c r="AB69" s="130">
        <f t="shared" si="54"/>
        <v>0</v>
      </c>
      <c r="AC69" s="131">
        <f t="shared" si="55"/>
        <v>0</v>
      </c>
    </row>
    <row r="70" spans="1:29" hidden="1">
      <c r="A70" s="122">
        <f t="shared" si="34"/>
        <v>840</v>
      </c>
      <c r="B70" s="123">
        <v>0</v>
      </c>
      <c r="C70" s="113"/>
      <c r="D70" s="113"/>
      <c r="E70" s="124">
        <f t="shared" si="35"/>
        <v>0</v>
      </c>
      <c r="F70" s="124">
        <f t="shared" si="36"/>
        <v>0</v>
      </c>
      <c r="G70" s="125">
        <f t="shared" si="56"/>
        <v>5</v>
      </c>
      <c r="H70" s="125">
        <f t="shared" si="57"/>
        <v>0</v>
      </c>
      <c r="I70" s="126">
        <f t="shared" si="37"/>
        <v>5</v>
      </c>
      <c r="J70" s="116">
        <f t="shared" si="38"/>
        <v>6.4</v>
      </c>
      <c r="K70" s="117">
        <f t="shared" si="39"/>
        <v>6.4</v>
      </c>
      <c r="L70" s="116">
        <f t="shared" si="40"/>
        <v>6.4</v>
      </c>
      <c r="M70" s="116">
        <f t="shared" si="41"/>
        <v>0</v>
      </c>
      <c r="N70" s="126">
        <f t="shared" si="42"/>
        <v>5.6</v>
      </c>
      <c r="O70" s="116">
        <f t="shared" si="43"/>
        <v>6.4</v>
      </c>
      <c r="P70" s="126">
        <f t="shared" si="44"/>
        <v>6</v>
      </c>
      <c r="Q70" s="126">
        <f t="shared" si="45"/>
        <v>1.2000000000000002</v>
      </c>
      <c r="R70" s="127">
        <f>(2*ปร.4_1!$W$12)*B70</f>
        <v>0</v>
      </c>
      <c r="S70" s="127">
        <f>ปร.4_1!$Z$13*Soil!B70</f>
        <v>0</v>
      </c>
      <c r="T70" s="128">
        <f t="shared" si="46"/>
        <v>0</v>
      </c>
      <c r="U70" s="128">
        <f t="shared" si="47"/>
        <v>0</v>
      </c>
      <c r="V70" s="128">
        <f t="shared" si="48"/>
        <v>5</v>
      </c>
      <c r="W70" s="128">
        <f t="shared" si="49"/>
        <v>5.6</v>
      </c>
      <c r="X70" s="128">
        <f t="shared" si="50"/>
        <v>5.3</v>
      </c>
      <c r="Y70" s="128">
        <f t="shared" si="51"/>
        <v>0.79499999999999993</v>
      </c>
      <c r="Z70" s="129">
        <f t="shared" si="52"/>
        <v>0</v>
      </c>
      <c r="AA70" s="128">
        <f t="shared" si="53"/>
        <v>0</v>
      </c>
      <c r="AB70" s="130">
        <f t="shared" si="54"/>
        <v>0</v>
      </c>
      <c r="AC70" s="131">
        <f t="shared" si="55"/>
        <v>0</v>
      </c>
    </row>
    <row r="71" spans="1:29" hidden="1">
      <c r="A71" s="122">
        <f t="shared" si="34"/>
        <v>840</v>
      </c>
      <c r="B71" s="123">
        <v>0</v>
      </c>
      <c r="C71" s="113"/>
      <c r="D71" s="113"/>
      <c r="E71" s="124">
        <f t="shared" si="35"/>
        <v>0</v>
      </c>
      <c r="F71" s="124">
        <f t="shared" si="36"/>
        <v>0</v>
      </c>
      <c r="G71" s="125">
        <f t="shared" si="56"/>
        <v>5</v>
      </c>
      <c r="H71" s="125">
        <f t="shared" si="57"/>
        <v>0</v>
      </c>
      <c r="I71" s="126">
        <f t="shared" si="37"/>
        <v>5</v>
      </c>
      <c r="J71" s="116">
        <f t="shared" si="38"/>
        <v>6.4</v>
      </c>
      <c r="K71" s="117">
        <f t="shared" si="39"/>
        <v>6.4</v>
      </c>
      <c r="L71" s="116">
        <f t="shared" si="40"/>
        <v>6.4</v>
      </c>
      <c r="M71" s="116">
        <f t="shared" si="41"/>
        <v>0</v>
      </c>
      <c r="N71" s="126">
        <f t="shared" si="42"/>
        <v>5.6</v>
      </c>
      <c r="O71" s="116">
        <f t="shared" si="43"/>
        <v>6.4</v>
      </c>
      <c r="P71" s="126">
        <f t="shared" si="44"/>
        <v>6</v>
      </c>
      <c r="Q71" s="126">
        <f t="shared" si="45"/>
        <v>1.2000000000000002</v>
      </c>
      <c r="R71" s="127">
        <f>(2*ปร.4_1!$W$12)*B71</f>
        <v>0</v>
      </c>
      <c r="S71" s="127">
        <f>ปร.4_1!$Z$13*Soil!B71</f>
        <v>0</v>
      </c>
      <c r="T71" s="128">
        <f t="shared" si="46"/>
        <v>0</v>
      </c>
      <c r="U71" s="128">
        <f t="shared" si="47"/>
        <v>0</v>
      </c>
      <c r="V71" s="128">
        <f t="shared" si="48"/>
        <v>5</v>
      </c>
      <c r="W71" s="128">
        <f t="shared" si="49"/>
        <v>5.6</v>
      </c>
      <c r="X71" s="128">
        <f t="shared" si="50"/>
        <v>5.3</v>
      </c>
      <c r="Y71" s="128">
        <f t="shared" si="51"/>
        <v>0.79499999999999993</v>
      </c>
      <c r="Z71" s="129">
        <f t="shared" si="52"/>
        <v>0</v>
      </c>
      <c r="AA71" s="128">
        <f t="shared" si="53"/>
        <v>0</v>
      </c>
      <c r="AB71" s="130">
        <f t="shared" si="54"/>
        <v>0</v>
      </c>
      <c r="AC71" s="131">
        <f t="shared" si="55"/>
        <v>0</v>
      </c>
    </row>
    <row r="72" spans="1:29" hidden="1">
      <c r="A72" s="122">
        <f t="shared" si="34"/>
        <v>840</v>
      </c>
      <c r="B72" s="123">
        <v>0</v>
      </c>
      <c r="C72" s="113"/>
      <c r="D72" s="113"/>
      <c r="E72" s="124">
        <f t="shared" si="35"/>
        <v>0</v>
      </c>
      <c r="F72" s="124">
        <f t="shared" si="36"/>
        <v>0</v>
      </c>
      <c r="G72" s="125">
        <f t="shared" si="56"/>
        <v>5</v>
      </c>
      <c r="H72" s="125">
        <f t="shared" si="57"/>
        <v>0</v>
      </c>
      <c r="I72" s="126">
        <f t="shared" si="37"/>
        <v>5</v>
      </c>
      <c r="J72" s="116">
        <f t="shared" si="38"/>
        <v>6.4</v>
      </c>
      <c r="K72" s="117">
        <f t="shared" si="39"/>
        <v>6.4</v>
      </c>
      <c r="L72" s="116">
        <f t="shared" si="40"/>
        <v>6.4</v>
      </c>
      <c r="M72" s="116">
        <f t="shared" si="41"/>
        <v>0</v>
      </c>
      <c r="N72" s="126">
        <f t="shared" si="42"/>
        <v>5.6</v>
      </c>
      <c r="O72" s="116">
        <f t="shared" si="43"/>
        <v>6.4</v>
      </c>
      <c r="P72" s="126">
        <f t="shared" si="44"/>
        <v>6</v>
      </c>
      <c r="Q72" s="126">
        <f t="shared" si="45"/>
        <v>1.2000000000000002</v>
      </c>
      <c r="R72" s="127">
        <f>(2*ปร.4_1!$W$12)*B72</f>
        <v>0</v>
      </c>
      <c r="S72" s="127">
        <f>ปร.4_1!$Z$13*Soil!B72</f>
        <v>0</v>
      </c>
      <c r="T72" s="128">
        <f t="shared" si="46"/>
        <v>0</v>
      </c>
      <c r="U72" s="128">
        <f t="shared" si="47"/>
        <v>0</v>
      </c>
      <c r="V72" s="128">
        <f t="shared" si="48"/>
        <v>5</v>
      </c>
      <c r="W72" s="128">
        <f t="shared" si="49"/>
        <v>5.6</v>
      </c>
      <c r="X72" s="128">
        <f t="shared" si="50"/>
        <v>5.3</v>
      </c>
      <c r="Y72" s="128">
        <f t="shared" si="51"/>
        <v>0.79499999999999993</v>
      </c>
      <c r="Z72" s="129">
        <f t="shared" si="52"/>
        <v>0</v>
      </c>
      <c r="AA72" s="128">
        <f t="shared" si="53"/>
        <v>0</v>
      </c>
      <c r="AB72" s="130">
        <f t="shared" si="54"/>
        <v>0</v>
      </c>
      <c r="AC72" s="131">
        <f t="shared" si="55"/>
        <v>0</v>
      </c>
    </row>
    <row r="73" spans="1:29" hidden="1">
      <c r="A73" s="122">
        <f t="shared" si="34"/>
        <v>840</v>
      </c>
      <c r="B73" s="123">
        <v>0</v>
      </c>
      <c r="C73" s="113"/>
      <c r="D73" s="113"/>
      <c r="E73" s="124">
        <f t="shared" si="35"/>
        <v>0</v>
      </c>
      <c r="F73" s="124">
        <f t="shared" si="36"/>
        <v>0</v>
      </c>
      <c r="G73" s="125">
        <f t="shared" si="56"/>
        <v>5</v>
      </c>
      <c r="H73" s="125">
        <f t="shared" si="57"/>
        <v>0</v>
      </c>
      <c r="I73" s="126">
        <f t="shared" si="37"/>
        <v>5</v>
      </c>
      <c r="J73" s="116">
        <f t="shared" si="38"/>
        <v>6.4</v>
      </c>
      <c r="K73" s="117">
        <f t="shared" si="39"/>
        <v>6.4</v>
      </c>
      <c r="L73" s="116">
        <f t="shared" si="40"/>
        <v>6.4</v>
      </c>
      <c r="M73" s="116">
        <f t="shared" si="41"/>
        <v>0</v>
      </c>
      <c r="N73" s="126">
        <f t="shared" si="42"/>
        <v>5.6</v>
      </c>
      <c r="O73" s="116">
        <f t="shared" si="43"/>
        <v>6.4</v>
      </c>
      <c r="P73" s="126">
        <f t="shared" si="44"/>
        <v>6</v>
      </c>
      <c r="Q73" s="126">
        <f t="shared" si="45"/>
        <v>1.2000000000000002</v>
      </c>
      <c r="R73" s="127">
        <f>(2*ปร.4_1!$W$12)*B73</f>
        <v>0</v>
      </c>
      <c r="S73" s="127">
        <f>ปร.4_1!$Z$13*Soil!B73</f>
        <v>0</v>
      </c>
      <c r="T73" s="128">
        <f t="shared" si="46"/>
        <v>0</v>
      </c>
      <c r="U73" s="128">
        <f t="shared" si="47"/>
        <v>0</v>
      </c>
      <c r="V73" s="128">
        <f t="shared" si="48"/>
        <v>5</v>
      </c>
      <c r="W73" s="128">
        <f t="shared" si="49"/>
        <v>5.6</v>
      </c>
      <c r="X73" s="128">
        <f t="shared" si="50"/>
        <v>5.3</v>
      </c>
      <c r="Y73" s="128">
        <f t="shared" si="51"/>
        <v>0.79499999999999993</v>
      </c>
      <c r="Z73" s="129">
        <f t="shared" si="52"/>
        <v>0</v>
      </c>
      <c r="AA73" s="128">
        <f t="shared" si="53"/>
        <v>0</v>
      </c>
      <c r="AB73" s="130">
        <f t="shared" si="54"/>
        <v>0</v>
      </c>
      <c r="AC73" s="131">
        <f t="shared" si="55"/>
        <v>0</v>
      </c>
    </row>
    <row r="74" spans="1:29" hidden="1">
      <c r="A74" s="122">
        <f t="shared" si="34"/>
        <v>840</v>
      </c>
      <c r="B74" s="123">
        <v>0</v>
      </c>
      <c r="C74" s="113"/>
      <c r="D74" s="113"/>
      <c r="E74" s="124">
        <f t="shared" si="35"/>
        <v>0</v>
      </c>
      <c r="F74" s="124">
        <f t="shared" si="36"/>
        <v>0</v>
      </c>
      <c r="G74" s="125">
        <f t="shared" si="56"/>
        <v>5</v>
      </c>
      <c r="H74" s="125">
        <f t="shared" si="57"/>
        <v>0</v>
      </c>
      <c r="I74" s="126">
        <f t="shared" si="37"/>
        <v>5</v>
      </c>
      <c r="J74" s="116">
        <f t="shared" si="38"/>
        <v>6.4</v>
      </c>
      <c r="K74" s="117">
        <f t="shared" si="39"/>
        <v>6.4</v>
      </c>
      <c r="L74" s="116">
        <f t="shared" si="40"/>
        <v>6.4</v>
      </c>
      <c r="M74" s="116">
        <f t="shared" si="41"/>
        <v>0</v>
      </c>
      <c r="N74" s="126">
        <f t="shared" si="42"/>
        <v>5.6</v>
      </c>
      <c r="O74" s="116">
        <f t="shared" si="43"/>
        <v>6.4</v>
      </c>
      <c r="P74" s="126">
        <f t="shared" si="44"/>
        <v>6</v>
      </c>
      <c r="Q74" s="126">
        <f t="shared" si="45"/>
        <v>1.2000000000000002</v>
      </c>
      <c r="R74" s="127">
        <f>(2*ปร.4_1!$W$12)*B74</f>
        <v>0</v>
      </c>
      <c r="S74" s="127">
        <f>ปร.4_1!$Z$13*Soil!B74</f>
        <v>0</v>
      </c>
      <c r="T74" s="128">
        <f t="shared" si="46"/>
        <v>0</v>
      </c>
      <c r="U74" s="128">
        <f t="shared" si="47"/>
        <v>0</v>
      </c>
      <c r="V74" s="128">
        <f t="shared" si="48"/>
        <v>5</v>
      </c>
      <c r="W74" s="128">
        <f t="shared" si="49"/>
        <v>5.6</v>
      </c>
      <c r="X74" s="128">
        <f t="shared" si="50"/>
        <v>5.3</v>
      </c>
      <c r="Y74" s="128">
        <f t="shared" si="51"/>
        <v>0.79499999999999993</v>
      </c>
      <c r="Z74" s="129">
        <f t="shared" si="52"/>
        <v>0</v>
      </c>
      <c r="AA74" s="128">
        <f t="shared" si="53"/>
        <v>0</v>
      </c>
      <c r="AB74" s="130">
        <f t="shared" si="54"/>
        <v>0</v>
      </c>
      <c r="AC74" s="131">
        <f t="shared" si="55"/>
        <v>0</v>
      </c>
    </row>
    <row r="75" spans="1:29" hidden="1">
      <c r="A75" s="122">
        <f t="shared" si="34"/>
        <v>840</v>
      </c>
      <c r="B75" s="123">
        <v>0</v>
      </c>
      <c r="C75" s="113"/>
      <c r="D75" s="113"/>
      <c r="E75" s="124">
        <f t="shared" si="35"/>
        <v>0</v>
      </c>
      <c r="F75" s="124">
        <f t="shared" si="36"/>
        <v>0</v>
      </c>
      <c r="G75" s="125">
        <f t="shared" si="56"/>
        <v>5</v>
      </c>
      <c r="H75" s="125">
        <f t="shared" si="57"/>
        <v>0</v>
      </c>
      <c r="I75" s="126">
        <f t="shared" si="37"/>
        <v>5</v>
      </c>
      <c r="J75" s="116">
        <f t="shared" si="38"/>
        <v>6.4</v>
      </c>
      <c r="K75" s="117">
        <f t="shared" si="39"/>
        <v>6.4</v>
      </c>
      <c r="L75" s="116">
        <f t="shared" si="40"/>
        <v>6.4</v>
      </c>
      <c r="M75" s="116">
        <f t="shared" si="41"/>
        <v>0</v>
      </c>
      <c r="N75" s="126">
        <f t="shared" si="42"/>
        <v>5.6</v>
      </c>
      <c r="O75" s="116">
        <f t="shared" si="43"/>
        <v>6.4</v>
      </c>
      <c r="P75" s="126">
        <f t="shared" si="44"/>
        <v>6</v>
      </c>
      <c r="Q75" s="126">
        <f t="shared" si="45"/>
        <v>1.2000000000000002</v>
      </c>
      <c r="R75" s="127">
        <f>(2*ปร.4_1!$W$12)*B75</f>
        <v>0</v>
      </c>
      <c r="S75" s="127">
        <f>ปร.4_1!$Z$13*Soil!B75</f>
        <v>0</v>
      </c>
      <c r="T75" s="128">
        <f t="shared" si="46"/>
        <v>0</v>
      </c>
      <c r="U75" s="128">
        <f t="shared" si="47"/>
        <v>0</v>
      </c>
      <c r="V75" s="128">
        <f t="shared" si="48"/>
        <v>5</v>
      </c>
      <c r="W75" s="128">
        <f t="shared" si="49"/>
        <v>5.6</v>
      </c>
      <c r="X75" s="128">
        <f t="shared" si="50"/>
        <v>5.3</v>
      </c>
      <c r="Y75" s="128">
        <f t="shared" si="51"/>
        <v>0.79499999999999993</v>
      </c>
      <c r="Z75" s="129">
        <f t="shared" si="52"/>
        <v>0</v>
      </c>
      <c r="AA75" s="128">
        <f t="shared" si="53"/>
        <v>0</v>
      </c>
      <c r="AB75" s="130">
        <f t="shared" si="54"/>
        <v>0</v>
      </c>
      <c r="AC75" s="131">
        <f t="shared" si="55"/>
        <v>0</v>
      </c>
    </row>
    <row r="76" spans="1:29" hidden="1">
      <c r="A76" s="122">
        <f t="shared" si="34"/>
        <v>840</v>
      </c>
      <c r="B76" s="123">
        <v>0</v>
      </c>
      <c r="C76" s="113"/>
      <c r="D76" s="113"/>
      <c r="E76" s="124">
        <f t="shared" si="35"/>
        <v>0</v>
      </c>
      <c r="F76" s="124">
        <f t="shared" si="36"/>
        <v>0</v>
      </c>
      <c r="G76" s="125">
        <f t="shared" si="56"/>
        <v>5</v>
      </c>
      <c r="H76" s="125">
        <f t="shared" si="57"/>
        <v>0</v>
      </c>
      <c r="I76" s="126">
        <f t="shared" si="37"/>
        <v>5</v>
      </c>
      <c r="J76" s="116">
        <f t="shared" si="38"/>
        <v>6.4</v>
      </c>
      <c r="K76" s="117">
        <f t="shared" si="39"/>
        <v>6.4</v>
      </c>
      <c r="L76" s="116">
        <f t="shared" si="40"/>
        <v>6.4</v>
      </c>
      <c r="M76" s="116">
        <f t="shared" si="41"/>
        <v>0</v>
      </c>
      <c r="N76" s="126">
        <f t="shared" si="42"/>
        <v>5.6</v>
      </c>
      <c r="O76" s="116">
        <f t="shared" si="43"/>
        <v>6.4</v>
      </c>
      <c r="P76" s="126">
        <f t="shared" si="44"/>
        <v>6</v>
      </c>
      <c r="Q76" s="126">
        <f t="shared" si="45"/>
        <v>1.2000000000000002</v>
      </c>
      <c r="R76" s="127">
        <f>(2*ปร.4_1!$W$12)*B76</f>
        <v>0</v>
      </c>
      <c r="S76" s="127">
        <f>ปร.4_1!$Z$13*Soil!B76</f>
        <v>0</v>
      </c>
      <c r="T76" s="128">
        <f t="shared" si="46"/>
        <v>0</v>
      </c>
      <c r="U76" s="128">
        <f t="shared" si="47"/>
        <v>0</v>
      </c>
      <c r="V76" s="128">
        <f t="shared" si="48"/>
        <v>5</v>
      </c>
      <c r="W76" s="128">
        <f t="shared" si="49"/>
        <v>5.6</v>
      </c>
      <c r="X76" s="128">
        <f t="shared" si="50"/>
        <v>5.3</v>
      </c>
      <c r="Y76" s="128">
        <f t="shared" si="51"/>
        <v>0.79499999999999993</v>
      </c>
      <c r="Z76" s="129">
        <f t="shared" si="52"/>
        <v>0</v>
      </c>
      <c r="AA76" s="128">
        <f t="shared" si="53"/>
        <v>0</v>
      </c>
      <c r="AB76" s="130">
        <f t="shared" si="54"/>
        <v>0</v>
      </c>
      <c r="AC76" s="131">
        <f t="shared" si="55"/>
        <v>0</v>
      </c>
    </row>
    <row r="77" spans="1:29" hidden="1">
      <c r="A77" s="122">
        <f t="shared" si="34"/>
        <v>840</v>
      </c>
      <c r="B77" s="123">
        <v>0</v>
      </c>
      <c r="C77" s="113"/>
      <c r="D77" s="113"/>
      <c r="E77" s="124">
        <f t="shared" si="35"/>
        <v>0</v>
      </c>
      <c r="F77" s="124">
        <f t="shared" si="36"/>
        <v>0</v>
      </c>
      <c r="G77" s="125">
        <f t="shared" si="56"/>
        <v>5</v>
      </c>
      <c r="H77" s="125">
        <f t="shared" si="57"/>
        <v>0</v>
      </c>
      <c r="I77" s="126">
        <f t="shared" si="37"/>
        <v>5</v>
      </c>
      <c r="J77" s="116">
        <f t="shared" si="38"/>
        <v>6.4</v>
      </c>
      <c r="K77" s="117">
        <f t="shared" si="39"/>
        <v>6.4</v>
      </c>
      <c r="L77" s="116">
        <f t="shared" si="40"/>
        <v>6.4</v>
      </c>
      <c r="M77" s="116">
        <f t="shared" si="41"/>
        <v>0</v>
      </c>
      <c r="N77" s="126">
        <f t="shared" si="42"/>
        <v>5.6</v>
      </c>
      <c r="O77" s="116">
        <f t="shared" si="43"/>
        <v>6.4</v>
      </c>
      <c r="P77" s="126">
        <f t="shared" si="44"/>
        <v>6</v>
      </c>
      <c r="Q77" s="126">
        <f t="shared" si="45"/>
        <v>1.2000000000000002</v>
      </c>
      <c r="R77" s="127">
        <f>(2*ปร.4_1!$W$12)*B77</f>
        <v>0</v>
      </c>
      <c r="S77" s="127">
        <f>ปร.4_1!$Z$13*Soil!B77</f>
        <v>0</v>
      </c>
      <c r="T77" s="128">
        <f t="shared" si="46"/>
        <v>0</v>
      </c>
      <c r="U77" s="128">
        <f t="shared" si="47"/>
        <v>0</v>
      </c>
      <c r="V77" s="128">
        <f t="shared" si="48"/>
        <v>5</v>
      </c>
      <c r="W77" s="128">
        <f t="shared" si="49"/>
        <v>5.6</v>
      </c>
      <c r="X77" s="128">
        <f t="shared" si="50"/>
        <v>5.3</v>
      </c>
      <c r="Y77" s="128">
        <f t="shared" si="51"/>
        <v>0.79499999999999993</v>
      </c>
      <c r="Z77" s="129">
        <f t="shared" si="52"/>
        <v>0</v>
      </c>
      <c r="AA77" s="128">
        <f t="shared" si="53"/>
        <v>0</v>
      </c>
      <c r="AB77" s="130">
        <f t="shared" si="54"/>
        <v>0</v>
      </c>
      <c r="AC77" s="131">
        <f t="shared" si="55"/>
        <v>0</v>
      </c>
    </row>
    <row r="78" spans="1:29" hidden="1">
      <c r="A78" s="122">
        <f t="shared" si="34"/>
        <v>840</v>
      </c>
      <c r="B78" s="123">
        <v>0</v>
      </c>
      <c r="C78" s="113"/>
      <c r="D78" s="113"/>
      <c r="E78" s="124">
        <f t="shared" si="35"/>
        <v>0</v>
      </c>
      <c r="F78" s="124">
        <f t="shared" si="36"/>
        <v>0</v>
      </c>
      <c r="G78" s="125">
        <f t="shared" si="56"/>
        <v>5</v>
      </c>
      <c r="H78" s="125">
        <f t="shared" si="57"/>
        <v>0</v>
      </c>
      <c r="I78" s="126">
        <f t="shared" si="37"/>
        <v>5</v>
      </c>
      <c r="J78" s="116">
        <f t="shared" si="38"/>
        <v>6.4</v>
      </c>
      <c r="K78" s="117">
        <f t="shared" si="39"/>
        <v>6.4</v>
      </c>
      <c r="L78" s="116">
        <f t="shared" si="40"/>
        <v>6.4</v>
      </c>
      <c r="M78" s="116">
        <f t="shared" si="41"/>
        <v>0</v>
      </c>
      <c r="N78" s="126">
        <f t="shared" si="42"/>
        <v>5.6</v>
      </c>
      <c r="O78" s="116">
        <f t="shared" si="43"/>
        <v>6.4</v>
      </c>
      <c r="P78" s="126">
        <f t="shared" si="44"/>
        <v>6</v>
      </c>
      <c r="Q78" s="126">
        <f t="shared" si="45"/>
        <v>1.2000000000000002</v>
      </c>
      <c r="R78" s="127">
        <f>(2*ปร.4_1!$W$12)*B78</f>
        <v>0</v>
      </c>
      <c r="S78" s="127">
        <f>ปร.4_1!$Z$13*Soil!B78</f>
        <v>0</v>
      </c>
      <c r="T78" s="128">
        <f t="shared" si="46"/>
        <v>0</v>
      </c>
      <c r="U78" s="128">
        <f t="shared" si="47"/>
        <v>0</v>
      </c>
      <c r="V78" s="128">
        <f t="shared" si="48"/>
        <v>5</v>
      </c>
      <c r="W78" s="128">
        <f t="shared" si="49"/>
        <v>5.6</v>
      </c>
      <c r="X78" s="128">
        <f t="shared" si="50"/>
        <v>5.3</v>
      </c>
      <c r="Y78" s="128">
        <f t="shared" si="51"/>
        <v>0.79499999999999993</v>
      </c>
      <c r="Z78" s="129">
        <f t="shared" si="52"/>
        <v>0</v>
      </c>
      <c r="AA78" s="128">
        <f t="shared" si="53"/>
        <v>0</v>
      </c>
      <c r="AB78" s="130">
        <f t="shared" si="54"/>
        <v>0</v>
      </c>
      <c r="AC78" s="131">
        <f t="shared" si="55"/>
        <v>0</v>
      </c>
    </row>
    <row r="79" spans="1:29" hidden="1">
      <c r="A79" s="122">
        <f t="shared" si="34"/>
        <v>840</v>
      </c>
      <c r="B79" s="123">
        <v>0</v>
      </c>
      <c r="C79" s="113"/>
      <c r="D79" s="113"/>
      <c r="E79" s="124">
        <f t="shared" si="35"/>
        <v>0</v>
      </c>
      <c r="F79" s="124">
        <f t="shared" si="36"/>
        <v>0</v>
      </c>
      <c r="G79" s="125">
        <f t="shared" si="56"/>
        <v>5</v>
      </c>
      <c r="H79" s="125">
        <f t="shared" si="57"/>
        <v>0</v>
      </c>
      <c r="I79" s="126">
        <f t="shared" si="37"/>
        <v>5</v>
      </c>
      <c r="J79" s="116">
        <f t="shared" si="38"/>
        <v>6.4</v>
      </c>
      <c r="K79" s="117">
        <f t="shared" si="39"/>
        <v>6.4</v>
      </c>
      <c r="L79" s="116">
        <f t="shared" si="40"/>
        <v>6.4</v>
      </c>
      <c r="M79" s="116">
        <f t="shared" si="41"/>
        <v>0</v>
      </c>
      <c r="N79" s="126">
        <f t="shared" si="42"/>
        <v>5.6</v>
      </c>
      <c r="O79" s="116">
        <f t="shared" si="43"/>
        <v>6.4</v>
      </c>
      <c r="P79" s="126">
        <f t="shared" si="44"/>
        <v>6</v>
      </c>
      <c r="Q79" s="126">
        <f t="shared" si="45"/>
        <v>1.2000000000000002</v>
      </c>
      <c r="R79" s="127">
        <f>(2*ปร.4_1!$W$12)*B79</f>
        <v>0</v>
      </c>
      <c r="S79" s="127">
        <f>ปร.4_1!$Z$13*Soil!B79</f>
        <v>0</v>
      </c>
      <c r="T79" s="128">
        <f t="shared" si="46"/>
        <v>0</v>
      </c>
      <c r="U79" s="128">
        <f t="shared" si="47"/>
        <v>0</v>
      </c>
      <c r="V79" s="128">
        <f t="shared" si="48"/>
        <v>5</v>
      </c>
      <c r="W79" s="128">
        <f t="shared" si="49"/>
        <v>5.6</v>
      </c>
      <c r="X79" s="128">
        <f t="shared" si="50"/>
        <v>5.3</v>
      </c>
      <c r="Y79" s="128">
        <f t="shared" si="51"/>
        <v>0.79499999999999993</v>
      </c>
      <c r="Z79" s="129">
        <f t="shared" si="52"/>
        <v>0</v>
      </c>
      <c r="AA79" s="128">
        <f t="shared" si="53"/>
        <v>0</v>
      </c>
      <c r="AB79" s="130">
        <f t="shared" si="54"/>
        <v>0</v>
      </c>
      <c r="AC79" s="131">
        <f t="shared" si="55"/>
        <v>0</v>
      </c>
    </row>
    <row r="80" spans="1:29" hidden="1">
      <c r="A80" s="122">
        <f t="shared" si="34"/>
        <v>840</v>
      </c>
      <c r="B80" s="123">
        <v>0</v>
      </c>
      <c r="C80" s="113"/>
      <c r="D80" s="113"/>
      <c r="E80" s="124">
        <f t="shared" si="35"/>
        <v>0</v>
      </c>
      <c r="F80" s="124">
        <f t="shared" si="36"/>
        <v>0</v>
      </c>
      <c r="G80" s="125">
        <f t="shared" si="56"/>
        <v>5</v>
      </c>
      <c r="H80" s="125">
        <f t="shared" si="57"/>
        <v>0</v>
      </c>
      <c r="I80" s="126">
        <f t="shared" si="37"/>
        <v>5</v>
      </c>
      <c r="J80" s="116">
        <f t="shared" si="38"/>
        <v>6.4</v>
      </c>
      <c r="K80" s="117">
        <f t="shared" si="39"/>
        <v>6.4</v>
      </c>
      <c r="L80" s="116">
        <f t="shared" si="40"/>
        <v>6.4</v>
      </c>
      <c r="M80" s="116">
        <f t="shared" si="41"/>
        <v>0</v>
      </c>
      <c r="N80" s="126">
        <f t="shared" si="42"/>
        <v>5.6</v>
      </c>
      <c r="O80" s="116">
        <f t="shared" si="43"/>
        <v>6.4</v>
      </c>
      <c r="P80" s="126">
        <f t="shared" si="44"/>
        <v>6</v>
      </c>
      <c r="Q80" s="126">
        <f t="shared" si="45"/>
        <v>1.2000000000000002</v>
      </c>
      <c r="R80" s="127">
        <f>(2*ปร.4_1!$W$12)*B80</f>
        <v>0</v>
      </c>
      <c r="S80" s="127">
        <f>ปร.4_1!$Z$13*Soil!B80</f>
        <v>0</v>
      </c>
      <c r="T80" s="128">
        <f t="shared" si="46"/>
        <v>0</v>
      </c>
      <c r="U80" s="128">
        <f t="shared" si="47"/>
        <v>0</v>
      </c>
      <c r="V80" s="128">
        <f t="shared" si="48"/>
        <v>5</v>
      </c>
      <c r="W80" s="128">
        <f t="shared" si="49"/>
        <v>5.6</v>
      </c>
      <c r="X80" s="128">
        <f t="shared" si="50"/>
        <v>5.3</v>
      </c>
      <c r="Y80" s="128">
        <f t="shared" si="51"/>
        <v>0.79499999999999993</v>
      </c>
      <c r="Z80" s="129">
        <f t="shared" si="52"/>
        <v>0</v>
      </c>
      <c r="AA80" s="128">
        <f t="shared" si="53"/>
        <v>0</v>
      </c>
      <c r="AB80" s="130">
        <f t="shared" si="54"/>
        <v>0</v>
      </c>
      <c r="AC80" s="131">
        <f t="shared" si="55"/>
        <v>0</v>
      </c>
    </row>
    <row r="81" spans="1:29" hidden="1">
      <c r="A81" s="122">
        <f t="shared" si="34"/>
        <v>840</v>
      </c>
      <c r="B81" s="123">
        <v>0</v>
      </c>
      <c r="C81" s="113"/>
      <c r="D81" s="113"/>
      <c r="E81" s="124">
        <f t="shared" si="35"/>
        <v>0</v>
      </c>
      <c r="F81" s="124">
        <f t="shared" si="36"/>
        <v>0</v>
      </c>
      <c r="G81" s="125">
        <f t="shared" ref="G81:G112" si="58">G80</f>
        <v>5</v>
      </c>
      <c r="H81" s="125">
        <f t="shared" ref="H81:H112" si="59">H80</f>
        <v>0</v>
      </c>
      <c r="I81" s="126">
        <f t="shared" si="37"/>
        <v>5</v>
      </c>
      <c r="J81" s="116">
        <f t="shared" si="38"/>
        <v>6.4</v>
      </c>
      <c r="K81" s="117">
        <f t="shared" si="39"/>
        <v>6.4</v>
      </c>
      <c r="L81" s="116">
        <f t="shared" si="40"/>
        <v>6.4</v>
      </c>
      <c r="M81" s="116">
        <f t="shared" si="41"/>
        <v>0</v>
      </c>
      <c r="N81" s="126">
        <f t="shared" si="42"/>
        <v>5.6</v>
      </c>
      <c r="O81" s="116">
        <f t="shared" si="43"/>
        <v>6.4</v>
      </c>
      <c r="P81" s="126">
        <f t="shared" si="44"/>
        <v>6</v>
      </c>
      <c r="Q81" s="126">
        <f t="shared" si="45"/>
        <v>1.2000000000000002</v>
      </c>
      <c r="R81" s="127">
        <f>(2*ปร.4_1!$W$12)*B81</f>
        <v>0</v>
      </c>
      <c r="S81" s="127">
        <f>ปร.4_1!$Z$13*Soil!B81</f>
        <v>0</v>
      </c>
      <c r="T81" s="128">
        <f t="shared" si="46"/>
        <v>0</v>
      </c>
      <c r="U81" s="128">
        <f t="shared" si="47"/>
        <v>0</v>
      </c>
      <c r="V81" s="128">
        <f t="shared" si="48"/>
        <v>5</v>
      </c>
      <c r="W81" s="128">
        <f t="shared" si="49"/>
        <v>5.6</v>
      </c>
      <c r="X81" s="128">
        <f t="shared" si="50"/>
        <v>5.3</v>
      </c>
      <c r="Y81" s="128">
        <f t="shared" si="51"/>
        <v>0.79499999999999993</v>
      </c>
      <c r="Z81" s="129">
        <f t="shared" si="52"/>
        <v>0</v>
      </c>
      <c r="AA81" s="128">
        <f t="shared" si="53"/>
        <v>0</v>
      </c>
      <c r="AB81" s="130">
        <f t="shared" si="54"/>
        <v>0</v>
      </c>
      <c r="AC81" s="131">
        <f t="shared" si="55"/>
        <v>0</v>
      </c>
    </row>
    <row r="82" spans="1:29" hidden="1">
      <c r="A82" s="122">
        <f t="shared" si="34"/>
        <v>840</v>
      </c>
      <c r="B82" s="123">
        <v>0</v>
      </c>
      <c r="C82" s="113"/>
      <c r="D82" s="113"/>
      <c r="E82" s="124">
        <f t="shared" si="35"/>
        <v>0</v>
      </c>
      <c r="F82" s="124">
        <f t="shared" si="36"/>
        <v>0</v>
      </c>
      <c r="G82" s="125">
        <f t="shared" si="58"/>
        <v>5</v>
      </c>
      <c r="H82" s="125">
        <f t="shared" si="59"/>
        <v>0</v>
      </c>
      <c r="I82" s="126">
        <f t="shared" si="37"/>
        <v>5</v>
      </c>
      <c r="J82" s="116">
        <f t="shared" si="38"/>
        <v>6.4</v>
      </c>
      <c r="K82" s="117">
        <f t="shared" si="39"/>
        <v>6.4</v>
      </c>
      <c r="L82" s="116">
        <f t="shared" si="40"/>
        <v>6.4</v>
      </c>
      <c r="M82" s="116">
        <f t="shared" si="41"/>
        <v>0</v>
      </c>
      <c r="N82" s="126">
        <f t="shared" si="42"/>
        <v>5.6</v>
      </c>
      <c r="O82" s="116">
        <f t="shared" si="43"/>
        <v>6.4</v>
      </c>
      <c r="P82" s="126">
        <f t="shared" si="44"/>
        <v>6</v>
      </c>
      <c r="Q82" s="126">
        <f t="shared" si="45"/>
        <v>1.2000000000000002</v>
      </c>
      <c r="R82" s="127">
        <f>(2*ปร.4_1!$W$12)*B82</f>
        <v>0</v>
      </c>
      <c r="S82" s="127">
        <f>ปร.4_1!$Z$13*Soil!B82</f>
        <v>0</v>
      </c>
      <c r="T82" s="128">
        <f t="shared" si="46"/>
        <v>0</v>
      </c>
      <c r="U82" s="128">
        <f t="shared" si="47"/>
        <v>0</v>
      </c>
      <c r="V82" s="128">
        <f t="shared" si="48"/>
        <v>5</v>
      </c>
      <c r="W82" s="128">
        <f t="shared" si="49"/>
        <v>5.6</v>
      </c>
      <c r="X82" s="128">
        <f t="shared" si="50"/>
        <v>5.3</v>
      </c>
      <c r="Y82" s="128">
        <f t="shared" si="51"/>
        <v>0.79499999999999993</v>
      </c>
      <c r="Z82" s="129">
        <f t="shared" si="52"/>
        <v>0</v>
      </c>
      <c r="AA82" s="128">
        <f t="shared" si="53"/>
        <v>0</v>
      </c>
      <c r="AB82" s="130">
        <f t="shared" si="54"/>
        <v>0</v>
      </c>
      <c r="AC82" s="131">
        <f t="shared" si="55"/>
        <v>0</v>
      </c>
    </row>
    <row r="83" spans="1:29" hidden="1">
      <c r="A83" s="122">
        <f t="shared" si="34"/>
        <v>840</v>
      </c>
      <c r="B83" s="123">
        <v>0</v>
      </c>
      <c r="C83" s="113"/>
      <c r="D83" s="113"/>
      <c r="E83" s="124">
        <f t="shared" si="35"/>
        <v>0</v>
      </c>
      <c r="F83" s="124">
        <f t="shared" si="36"/>
        <v>0</v>
      </c>
      <c r="G83" s="125">
        <f t="shared" si="58"/>
        <v>5</v>
      </c>
      <c r="H83" s="125">
        <f t="shared" si="59"/>
        <v>0</v>
      </c>
      <c r="I83" s="126">
        <f t="shared" si="37"/>
        <v>5</v>
      </c>
      <c r="J83" s="116">
        <f t="shared" si="38"/>
        <v>6.4</v>
      </c>
      <c r="K83" s="117">
        <f t="shared" si="39"/>
        <v>6.4</v>
      </c>
      <c r="L83" s="116">
        <f t="shared" si="40"/>
        <v>6.4</v>
      </c>
      <c r="M83" s="116">
        <f t="shared" si="41"/>
        <v>0</v>
      </c>
      <c r="N83" s="126">
        <f t="shared" si="42"/>
        <v>5.6</v>
      </c>
      <c r="O83" s="116">
        <f t="shared" si="43"/>
        <v>6.4</v>
      </c>
      <c r="P83" s="126">
        <f t="shared" si="44"/>
        <v>6</v>
      </c>
      <c r="Q83" s="126">
        <f t="shared" si="45"/>
        <v>1.2000000000000002</v>
      </c>
      <c r="R83" s="127">
        <f>(2*ปร.4_1!$W$12)*B83</f>
        <v>0</v>
      </c>
      <c r="S83" s="127">
        <f>ปร.4_1!$Z$13*Soil!B83</f>
        <v>0</v>
      </c>
      <c r="T83" s="128">
        <f t="shared" si="46"/>
        <v>0</v>
      </c>
      <c r="U83" s="128">
        <f t="shared" si="47"/>
        <v>0</v>
      </c>
      <c r="V83" s="128">
        <f t="shared" si="48"/>
        <v>5</v>
      </c>
      <c r="W83" s="128">
        <f t="shared" si="49"/>
        <v>5.6</v>
      </c>
      <c r="X83" s="128">
        <f t="shared" si="50"/>
        <v>5.3</v>
      </c>
      <c r="Y83" s="128">
        <f t="shared" si="51"/>
        <v>0.79499999999999993</v>
      </c>
      <c r="Z83" s="129">
        <f t="shared" si="52"/>
        <v>0</v>
      </c>
      <c r="AA83" s="128">
        <f t="shared" si="53"/>
        <v>0</v>
      </c>
      <c r="AB83" s="130">
        <f t="shared" si="54"/>
        <v>0</v>
      </c>
      <c r="AC83" s="131">
        <f t="shared" si="55"/>
        <v>0</v>
      </c>
    </row>
    <row r="84" spans="1:29" hidden="1">
      <c r="A84" s="122">
        <f t="shared" si="34"/>
        <v>840</v>
      </c>
      <c r="B84" s="123">
        <v>0</v>
      </c>
      <c r="C84" s="113"/>
      <c r="D84" s="113"/>
      <c r="E84" s="124">
        <f t="shared" si="35"/>
        <v>0</v>
      </c>
      <c r="F84" s="124">
        <f t="shared" si="36"/>
        <v>0</v>
      </c>
      <c r="G84" s="125">
        <f t="shared" si="58"/>
        <v>5</v>
      </c>
      <c r="H84" s="125">
        <f t="shared" si="59"/>
        <v>0</v>
      </c>
      <c r="I84" s="126">
        <f t="shared" si="37"/>
        <v>5</v>
      </c>
      <c r="J84" s="116">
        <f t="shared" si="38"/>
        <v>6.4</v>
      </c>
      <c r="K84" s="117">
        <f t="shared" si="39"/>
        <v>6.4</v>
      </c>
      <c r="L84" s="116">
        <f t="shared" si="40"/>
        <v>6.4</v>
      </c>
      <c r="M84" s="116">
        <f t="shared" si="41"/>
        <v>0</v>
      </c>
      <c r="N84" s="126">
        <f t="shared" si="42"/>
        <v>5.6</v>
      </c>
      <c r="O84" s="116">
        <f t="shared" si="43"/>
        <v>6.4</v>
      </c>
      <c r="P84" s="126">
        <f t="shared" si="44"/>
        <v>6</v>
      </c>
      <c r="Q84" s="126">
        <f t="shared" si="45"/>
        <v>1.2000000000000002</v>
      </c>
      <c r="R84" s="127">
        <f>(2*ปร.4_1!$W$12)*B84</f>
        <v>0</v>
      </c>
      <c r="S84" s="127">
        <f>ปร.4_1!$Z$13*Soil!B84</f>
        <v>0</v>
      </c>
      <c r="T84" s="128">
        <f t="shared" si="46"/>
        <v>0</v>
      </c>
      <c r="U84" s="128">
        <f t="shared" si="47"/>
        <v>0</v>
      </c>
      <c r="V84" s="128">
        <f t="shared" si="48"/>
        <v>5</v>
      </c>
      <c r="W84" s="128">
        <f t="shared" si="49"/>
        <v>5.6</v>
      </c>
      <c r="X84" s="128">
        <f t="shared" si="50"/>
        <v>5.3</v>
      </c>
      <c r="Y84" s="128">
        <f t="shared" si="51"/>
        <v>0.79499999999999993</v>
      </c>
      <c r="Z84" s="129">
        <f t="shared" si="52"/>
        <v>0</v>
      </c>
      <c r="AA84" s="128">
        <f t="shared" si="53"/>
        <v>0</v>
      </c>
      <c r="AB84" s="130">
        <f t="shared" si="54"/>
        <v>0</v>
      </c>
      <c r="AC84" s="131">
        <f t="shared" si="55"/>
        <v>0</v>
      </c>
    </row>
    <row r="85" spans="1:29" hidden="1">
      <c r="A85" s="122">
        <f t="shared" si="34"/>
        <v>840</v>
      </c>
      <c r="B85" s="123">
        <v>0</v>
      </c>
      <c r="C85" s="113"/>
      <c r="D85" s="113"/>
      <c r="E85" s="124">
        <f t="shared" si="35"/>
        <v>0</v>
      </c>
      <c r="F85" s="124">
        <f t="shared" si="36"/>
        <v>0</v>
      </c>
      <c r="G85" s="125">
        <f t="shared" si="58"/>
        <v>5</v>
      </c>
      <c r="H85" s="125">
        <f t="shared" si="59"/>
        <v>0</v>
      </c>
      <c r="I85" s="126">
        <f t="shared" si="37"/>
        <v>5</v>
      </c>
      <c r="J85" s="116">
        <f t="shared" si="38"/>
        <v>6.4</v>
      </c>
      <c r="K85" s="117">
        <f t="shared" si="39"/>
        <v>6.4</v>
      </c>
      <c r="L85" s="116">
        <f t="shared" si="40"/>
        <v>6.4</v>
      </c>
      <c r="M85" s="116">
        <f t="shared" si="41"/>
        <v>0</v>
      </c>
      <c r="N85" s="126">
        <f t="shared" si="42"/>
        <v>5.6</v>
      </c>
      <c r="O85" s="116">
        <f t="shared" si="43"/>
        <v>6.4</v>
      </c>
      <c r="P85" s="126">
        <f t="shared" si="44"/>
        <v>6</v>
      </c>
      <c r="Q85" s="126">
        <f t="shared" si="45"/>
        <v>1.2000000000000002</v>
      </c>
      <c r="R85" s="127">
        <f>(2*ปร.4_1!$W$12)*B85</f>
        <v>0</v>
      </c>
      <c r="S85" s="127">
        <f>ปร.4_1!$Z$13*Soil!B85</f>
        <v>0</v>
      </c>
      <c r="T85" s="128">
        <f t="shared" si="46"/>
        <v>0</v>
      </c>
      <c r="U85" s="128">
        <f t="shared" si="47"/>
        <v>0</v>
      </c>
      <c r="V85" s="128">
        <f t="shared" si="48"/>
        <v>5</v>
      </c>
      <c r="W85" s="128">
        <f t="shared" si="49"/>
        <v>5.6</v>
      </c>
      <c r="X85" s="128">
        <f t="shared" si="50"/>
        <v>5.3</v>
      </c>
      <c r="Y85" s="128">
        <f t="shared" si="51"/>
        <v>0.79499999999999993</v>
      </c>
      <c r="Z85" s="129">
        <f t="shared" si="52"/>
        <v>0</v>
      </c>
      <c r="AA85" s="128">
        <f t="shared" si="53"/>
        <v>0</v>
      </c>
      <c r="AB85" s="130">
        <f t="shared" si="54"/>
        <v>0</v>
      </c>
      <c r="AC85" s="131">
        <f t="shared" si="55"/>
        <v>0</v>
      </c>
    </row>
    <row r="86" spans="1:29" hidden="1">
      <c r="A86" s="122">
        <f t="shared" si="34"/>
        <v>840</v>
      </c>
      <c r="B86" s="123">
        <v>0</v>
      </c>
      <c r="C86" s="113"/>
      <c r="D86" s="113"/>
      <c r="E86" s="124">
        <f t="shared" si="35"/>
        <v>0</v>
      </c>
      <c r="F86" s="124">
        <f t="shared" si="36"/>
        <v>0</v>
      </c>
      <c r="G86" s="125">
        <f t="shared" si="58"/>
        <v>5</v>
      </c>
      <c r="H86" s="125">
        <f t="shared" si="59"/>
        <v>0</v>
      </c>
      <c r="I86" s="126">
        <f t="shared" si="37"/>
        <v>5</v>
      </c>
      <c r="J86" s="116">
        <f t="shared" si="38"/>
        <v>6.4</v>
      </c>
      <c r="K86" s="117">
        <f t="shared" si="39"/>
        <v>6.4</v>
      </c>
      <c r="L86" s="116">
        <f t="shared" si="40"/>
        <v>6.4</v>
      </c>
      <c r="M86" s="116">
        <f t="shared" si="41"/>
        <v>0</v>
      </c>
      <c r="N86" s="126">
        <f t="shared" si="42"/>
        <v>5.6</v>
      </c>
      <c r="O86" s="116">
        <f t="shared" si="43"/>
        <v>6.4</v>
      </c>
      <c r="P86" s="126">
        <f t="shared" si="44"/>
        <v>6</v>
      </c>
      <c r="Q86" s="126">
        <f t="shared" si="45"/>
        <v>1.2000000000000002</v>
      </c>
      <c r="R86" s="127">
        <f>(2*ปร.4_1!$W$12)*B86</f>
        <v>0</v>
      </c>
      <c r="S86" s="127">
        <f>ปร.4_1!$Z$13*Soil!B86</f>
        <v>0</v>
      </c>
      <c r="T86" s="128">
        <f t="shared" si="46"/>
        <v>0</v>
      </c>
      <c r="U86" s="128">
        <f t="shared" si="47"/>
        <v>0</v>
      </c>
      <c r="V86" s="128">
        <f t="shared" si="48"/>
        <v>5</v>
      </c>
      <c r="W86" s="128">
        <f t="shared" si="49"/>
        <v>5.6</v>
      </c>
      <c r="X86" s="128">
        <f t="shared" si="50"/>
        <v>5.3</v>
      </c>
      <c r="Y86" s="128">
        <f t="shared" si="51"/>
        <v>0.79499999999999993</v>
      </c>
      <c r="Z86" s="129">
        <f t="shared" si="52"/>
        <v>0</v>
      </c>
      <c r="AA86" s="128">
        <f t="shared" si="53"/>
        <v>0</v>
      </c>
      <c r="AB86" s="130">
        <f t="shared" si="54"/>
        <v>0</v>
      </c>
      <c r="AC86" s="131">
        <f t="shared" si="55"/>
        <v>0</v>
      </c>
    </row>
    <row r="87" spans="1:29" hidden="1">
      <c r="A87" s="122">
        <f t="shared" si="34"/>
        <v>840</v>
      </c>
      <c r="B87" s="123">
        <v>0</v>
      </c>
      <c r="C87" s="113"/>
      <c r="D87" s="113"/>
      <c r="E87" s="124">
        <f t="shared" si="35"/>
        <v>0</v>
      </c>
      <c r="F87" s="124">
        <f t="shared" si="36"/>
        <v>0</v>
      </c>
      <c r="G87" s="125">
        <f t="shared" si="58"/>
        <v>5</v>
      </c>
      <c r="H87" s="125">
        <f t="shared" si="59"/>
        <v>0</v>
      </c>
      <c r="I87" s="126">
        <f t="shared" si="37"/>
        <v>5</v>
      </c>
      <c r="J87" s="116">
        <f t="shared" si="38"/>
        <v>6.4</v>
      </c>
      <c r="K87" s="117">
        <f t="shared" si="39"/>
        <v>6.4</v>
      </c>
      <c r="L87" s="116">
        <f t="shared" si="40"/>
        <v>6.4</v>
      </c>
      <c r="M87" s="116">
        <f t="shared" si="41"/>
        <v>0</v>
      </c>
      <c r="N87" s="126">
        <f t="shared" si="42"/>
        <v>5.6</v>
      </c>
      <c r="O87" s="116">
        <f t="shared" si="43"/>
        <v>6.4</v>
      </c>
      <c r="P87" s="126">
        <f t="shared" si="44"/>
        <v>6</v>
      </c>
      <c r="Q87" s="126">
        <f t="shared" si="45"/>
        <v>1.2000000000000002</v>
      </c>
      <c r="R87" s="127">
        <f>(2*ปร.4_1!$W$12)*B87</f>
        <v>0</v>
      </c>
      <c r="S87" s="127">
        <f>ปร.4_1!$Z$13*Soil!B87</f>
        <v>0</v>
      </c>
      <c r="T87" s="128">
        <f t="shared" si="46"/>
        <v>0</v>
      </c>
      <c r="U87" s="128">
        <f t="shared" si="47"/>
        <v>0</v>
      </c>
      <c r="V87" s="128">
        <f t="shared" si="48"/>
        <v>5</v>
      </c>
      <c r="W87" s="128">
        <f t="shared" si="49"/>
        <v>5.6</v>
      </c>
      <c r="X87" s="128">
        <f t="shared" si="50"/>
        <v>5.3</v>
      </c>
      <c r="Y87" s="128">
        <f t="shared" si="51"/>
        <v>0.79499999999999993</v>
      </c>
      <c r="Z87" s="129">
        <f t="shared" si="52"/>
        <v>0</v>
      </c>
      <c r="AA87" s="128">
        <f t="shared" si="53"/>
        <v>0</v>
      </c>
      <c r="AB87" s="130">
        <f t="shared" si="54"/>
        <v>0</v>
      </c>
      <c r="AC87" s="131">
        <f t="shared" si="55"/>
        <v>0</v>
      </c>
    </row>
    <row r="88" spans="1:29" hidden="1">
      <c r="A88" s="122">
        <f t="shared" si="34"/>
        <v>840</v>
      </c>
      <c r="B88" s="123">
        <v>0</v>
      </c>
      <c r="C88" s="113"/>
      <c r="D88" s="113"/>
      <c r="E88" s="124">
        <f t="shared" si="35"/>
        <v>0</v>
      </c>
      <c r="F88" s="124">
        <f t="shared" si="36"/>
        <v>0</v>
      </c>
      <c r="G88" s="125">
        <f t="shared" si="58"/>
        <v>5</v>
      </c>
      <c r="H88" s="125">
        <f t="shared" si="59"/>
        <v>0</v>
      </c>
      <c r="I88" s="126">
        <f t="shared" si="37"/>
        <v>5</v>
      </c>
      <c r="J88" s="116">
        <f t="shared" si="38"/>
        <v>6.4</v>
      </c>
      <c r="K88" s="117">
        <f t="shared" si="39"/>
        <v>6.4</v>
      </c>
      <c r="L88" s="116">
        <f t="shared" si="40"/>
        <v>6.4</v>
      </c>
      <c r="M88" s="116">
        <f t="shared" si="41"/>
        <v>0</v>
      </c>
      <c r="N88" s="126">
        <f t="shared" si="42"/>
        <v>5.6</v>
      </c>
      <c r="O88" s="116">
        <f t="shared" si="43"/>
        <v>6.4</v>
      </c>
      <c r="P88" s="126">
        <f t="shared" si="44"/>
        <v>6</v>
      </c>
      <c r="Q88" s="126">
        <f t="shared" si="45"/>
        <v>1.2000000000000002</v>
      </c>
      <c r="R88" s="127">
        <f>(2*ปร.4_1!$W$12)*B88</f>
        <v>0</v>
      </c>
      <c r="S88" s="127">
        <f>ปร.4_1!$Z$13*Soil!B88</f>
        <v>0</v>
      </c>
      <c r="T88" s="128">
        <f t="shared" si="46"/>
        <v>0</v>
      </c>
      <c r="U88" s="128">
        <f t="shared" si="47"/>
        <v>0</v>
      </c>
      <c r="V88" s="128">
        <f t="shared" si="48"/>
        <v>5</v>
      </c>
      <c r="W88" s="128">
        <f t="shared" si="49"/>
        <v>5.6</v>
      </c>
      <c r="X88" s="128">
        <f t="shared" si="50"/>
        <v>5.3</v>
      </c>
      <c r="Y88" s="128">
        <f t="shared" si="51"/>
        <v>0.79499999999999993</v>
      </c>
      <c r="Z88" s="129">
        <f t="shared" si="52"/>
        <v>0</v>
      </c>
      <c r="AA88" s="128">
        <f t="shared" si="53"/>
        <v>0</v>
      </c>
      <c r="AB88" s="130">
        <f t="shared" si="54"/>
        <v>0</v>
      </c>
      <c r="AC88" s="131">
        <f t="shared" si="55"/>
        <v>0</v>
      </c>
    </row>
    <row r="89" spans="1:29" hidden="1">
      <c r="A89" s="122">
        <f t="shared" si="34"/>
        <v>840</v>
      </c>
      <c r="B89" s="123">
        <v>0</v>
      </c>
      <c r="C89" s="113"/>
      <c r="D89" s="113"/>
      <c r="E89" s="124">
        <f t="shared" si="35"/>
        <v>0</v>
      </c>
      <c r="F89" s="124">
        <f t="shared" si="36"/>
        <v>0</v>
      </c>
      <c r="G89" s="125">
        <f t="shared" si="58"/>
        <v>5</v>
      </c>
      <c r="H89" s="125">
        <f t="shared" si="59"/>
        <v>0</v>
      </c>
      <c r="I89" s="126">
        <f t="shared" si="37"/>
        <v>5</v>
      </c>
      <c r="J89" s="116">
        <f t="shared" si="38"/>
        <v>6.4</v>
      </c>
      <c r="K89" s="117">
        <f t="shared" si="39"/>
        <v>6.4</v>
      </c>
      <c r="L89" s="116">
        <f t="shared" si="40"/>
        <v>6.4</v>
      </c>
      <c r="M89" s="116">
        <f t="shared" si="41"/>
        <v>0</v>
      </c>
      <c r="N89" s="126">
        <f t="shared" si="42"/>
        <v>5.6</v>
      </c>
      <c r="O89" s="116">
        <f t="shared" si="43"/>
        <v>6.4</v>
      </c>
      <c r="P89" s="126">
        <f t="shared" si="44"/>
        <v>6</v>
      </c>
      <c r="Q89" s="126">
        <f t="shared" si="45"/>
        <v>1.2000000000000002</v>
      </c>
      <c r="R89" s="127">
        <f>(2*ปร.4_1!$W$12)*B89</f>
        <v>0</v>
      </c>
      <c r="S89" s="127">
        <f>ปร.4_1!$Z$13*Soil!B89</f>
        <v>0</v>
      </c>
      <c r="T89" s="128">
        <f t="shared" si="46"/>
        <v>0</v>
      </c>
      <c r="U89" s="128">
        <f t="shared" si="47"/>
        <v>0</v>
      </c>
      <c r="V89" s="128">
        <f t="shared" si="48"/>
        <v>5</v>
      </c>
      <c r="W89" s="128">
        <f t="shared" si="49"/>
        <v>5.6</v>
      </c>
      <c r="X89" s="128">
        <f t="shared" si="50"/>
        <v>5.3</v>
      </c>
      <c r="Y89" s="128">
        <f t="shared" si="51"/>
        <v>0.79499999999999993</v>
      </c>
      <c r="Z89" s="129">
        <f t="shared" si="52"/>
        <v>0</v>
      </c>
      <c r="AA89" s="128">
        <f t="shared" si="53"/>
        <v>0</v>
      </c>
      <c r="AB89" s="130">
        <f t="shared" si="54"/>
        <v>0</v>
      </c>
      <c r="AC89" s="131">
        <f t="shared" si="55"/>
        <v>0</v>
      </c>
    </row>
    <row r="90" spans="1:29" hidden="1">
      <c r="A90" s="122">
        <f t="shared" si="34"/>
        <v>840</v>
      </c>
      <c r="B90" s="123">
        <v>0</v>
      </c>
      <c r="C90" s="113"/>
      <c r="D90" s="113"/>
      <c r="E90" s="124">
        <f t="shared" si="35"/>
        <v>0</v>
      </c>
      <c r="F90" s="124">
        <f t="shared" si="36"/>
        <v>0</v>
      </c>
      <c r="G90" s="125">
        <f t="shared" si="58"/>
        <v>5</v>
      </c>
      <c r="H90" s="125">
        <f t="shared" si="59"/>
        <v>0</v>
      </c>
      <c r="I90" s="126">
        <f t="shared" si="37"/>
        <v>5</v>
      </c>
      <c r="J90" s="116">
        <f t="shared" si="38"/>
        <v>6.4</v>
      </c>
      <c r="K90" s="117">
        <f t="shared" si="39"/>
        <v>6.4</v>
      </c>
      <c r="L90" s="116">
        <f t="shared" si="40"/>
        <v>6.4</v>
      </c>
      <c r="M90" s="116">
        <f t="shared" si="41"/>
        <v>0</v>
      </c>
      <c r="N90" s="126">
        <f t="shared" si="42"/>
        <v>5.6</v>
      </c>
      <c r="O90" s="116">
        <f t="shared" si="43"/>
        <v>6.4</v>
      </c>
      <c r="P90" s="126">
        <f t="shared" si="44"/>
        <v>6</v>
      </c>
      <c r="Q90" s="126">
        <f t="shared" si="45"/>
        <v>1.2000000000000002</v>
      </c>
      <c r="R90" s="127">
        <f>(2*ปร.4_1!$W$12)*B90</f>
        <v>0</v>
      </c>
      <c r="S90" s="127">
        <f>ปร.4_1!$Z$13*Soil!B90</f>
        <v>0</v>
      </c>
      <c r="T90" s="128">
        <f t="shared" si="46"/>
        <v>0</v>
      </c>
      <c r="U90" s="128">
        <f t="shared" si="47"/>
        <v>0</v>
      </c>
      <c r="V90" s="128">
        <f t="shared" si="48"/>
        <v>5</v>
      </c>
      <c r="W90" s="128">
        <f t="shared" si="49"/>
        <v>5.6</v>
      </c>
      <c r="X90" s="128">
        <f t="shared" si="50"/>
        <v>5.3</v>
      </c>
      <c r="Y90" s="128">
        <f t="shared" si="51"/>
        <v>0.79499999999999993</v>
      </c>
      <c r="Z90" s="129">
        <f t="shared" si="52"/>
        <v>0</v>
      </c>
      <c r="AA90" s="128">
        <f t="shared" si="53"/>
        <v>0</v>
      </c>
      <c r="AB90" s="130">
        <f t="shared" si="54"/>
        <v>0</v>
      </c>
      <c r="AC90" s="131">
        <f t="shared" si="55"/>
        <v>0</v>
      </c>
    </row>
    <row r="91" spans="1:29" hidden="1">
      <c r="A91" s="122">
        <f t="shared" si="34"/>
        <v>840</v>
      </c>
      <c r="B91" s="123">
        <v>0</v>
      </c>
      <c r="C91" s="113"/>
      <c r="D91" s="113"/>
      <c r="E91" s="124">
        <f t="shared" si="35"/>
        <v>0</v>
      </c>
      <c r="F91" s="124">
        <f t="shared" si="36"/>
        <v>0</v>
      </c>
      <c r="G91" s="125">
        <f t="shared" si="58"/>
        <v>5</v>
      </c>
      <c r="H91" s="125">
        <f t="shared" si="59"/>
        <v>0</v>
      </c>
      <c r="I91" s="126">
        <f t="shared" si="37"/>
        <v>5</v>
      </c>
      <c r="J91" s="116">
        <f t="shared" si="38"/>
        <v>6.4</v>
      </c>
      <c r="K91" s="117">
        <f t="shared" si="39"/>
        <v>6.4</v>
      </c>
      <c r="L91" s="116">
        <f t="shared" si="40"/>
        <v>6.4</v>
      </c>
      <c r="M91" s="116">
        <f t="shared" si="41"/>
        <v>0</v>
      </c>
      <c r="N91" s="126">
        <f t="shared" si="42"/>
        <v>5.6</v>
      </c>
      <c r="O91" s="116">
        <f t="shared" si="43"/>
        <v>6.4</v>
      </c>
      <c r="P91" s="126">
        <f t="shared" si="44"/>
        <v>6</v>
      </c>
      <c r="Q91" s="126">
        <f t="shared" si="45"/>
        <v>1.2000000000000002</v>
      </c>
      <c r="R91" s="127">
        <f>(2*ปร.4_1!$W$12)*B91</f>
        <v>0</v>
      </c>
      <c r="S91" s="127">
        <f>ปร.4_1!$Z$13*Soil!B91</f>
        <v>0</v>
      </c>
      <c r="T91" s="128">
        <f t="shared" si="46"/>
        <v>0</v>
      </c>
      <c r="U91" s="128">
        <f t="shared" si="47"/>
        <v>0</v>
      </c>
      <c r="V91" s="128">
        <f t="shared" si="48"/>
        <v>5</v>
      </c>
      <c r="W91" s="128">
        <f t="shared" si="49"/>
        <v>5.6</v>
      </c>
      <c r="X91" s="128">
        <f t="shared" si="50"/>
        <v>5.3</v>
      </c>
      <c r="Y91" s="128">
        <f t="shared" si="51"/>
        <v>0.79499999999999993</v>
      </c>
      <c r="Z91" s="129">
        <f t="shared" si="52"/>
        <v>0</v>
      </c>
      <c r="AA91" s="128">
        <f t="shared" si="53"/>
        <v>0</v>
      </c>
      <c r="AB91" s="130">
        <f t="shared" si="54"/>
        <v>0</v>
      </c>
      <c r="AC91" s="131">
        <f t="shared" si="55"/>
        <v>0</v>
      </c>
    </row>
    <row r="92" spans="1:29" hidden="1">
      <c r="A92" s="122">
        <f t="shared" ref="A92:A146" si="60">A91+B92</f>
        <v>840</v>
      </c>
      <c r="B92" s="123">
        <v>0</v>
      </c>
      <c r="C92" s="113"/>
      <c r="D92" s="113"/>
      <c r="E92" s="124">
        <f t="shared" ref="E92:E146" si="61">(C91+C92)/2*B92</f>
        <v>0</v>
      </c>
      <c r="F92" s="124">
        <f t="shared" ref="F92:F146" si="62">+(D91+D92)/2*B92</f>
        <v>0</v>
      </c>
      <c r="G92" s="125">
        <f t="shared" si="58"/>
        <v>5</v>
      </c>
      <c r="H92" s="125">
        <f t="shared" si="59"/>
        <v>0</v>
      </c>
      <c r="I92" s="126">
        <f t="shared" ref="I92:I146" si="63">+G92+2*H92</f>
        <v>5</v>
      </c>
      <c r="J92" s="116">
        <f t="shared" ref="J92:J146" si="64">IF(I92=0,0,I92+2*($I$3+I$4)/(1/$I$1))</f>
        <v>6.4</v>
      </c>
      <c r="K92" s="117">
        <f t="shared" ref="K92:K146" si="65">IF(I92=0,0,I92+2*($I$2+$I$3+$I$4)/(1/$I$1))</f>
        <v>6.4</v>
      </c>
      <c r="L92" s="116">
        <f t="shared" ref="L92:L146" si="66">(J92+K92)/2</f>
        <v>6.4</v>
      </c>
      <c r="M92" s="116">
        <f t="shared" ref="M92:M146" si="67">L92*$I$2</f>
        <v>0</v>
      </c>
      <c r="N92" s="126">
        <f t="shared" ref="N92:N146" si="68">IF(I92=0,0,I92+2*$I$4/(1/$I$1))</f>
        <v>5.6</v>
      </c>
      <c r="O92" s="116">
        <f t="shared" ref="O92:O146" si="69">IF(I92=0,0,I92+2*($I$3+$I$4)/(1/$I$1))</f>
        <v>6.4</v>
      </c>
      <c r="P92" s="126">
        <f t="shared" ref="P92:P146" si="70">+(N92+O92)/2</f>
        <v>6</v>
      </c>
      <c r="Q92" s="126">
        <f t="shared" ref="Q92:Q146" si="71">+P92*$I$3</f>
        <v>1.2000000000000002</v>
      </c>
      <c r="R92" s="127">
        <f>(2*ปร.4_1!$W$12)*B92</f>
        <v>0</v>
      </c>
      <c r="S92" s="127">
        <f>ปร.4_1!$Z$13*Soil!B92</f>
        <v>0</v>
      </c>
      <c r="T92" s="128">
        <f t="shared" ref="T92:T146" si="72">IF(G92=0,0,(M92+M91)/2*B92)</f>
        <v>0</v>
      </c>
      <c r="U92" s="128">
        <f t="shared" ref="U92:U146" si="73">IF(G92=0,0,(Q92+Q91)/2*B92)</f>
        <v>0</v>
      </c>
      <c r="V92" s="128">
        <f t="shared" ref="V92:V146" si="74">+I92</f>
        <v>5</v>
      </c>
      <c r="W92" s="128">
        <f t="shared" ref="W92:W146" si="75">N92</f>
        <v>5.6</v>
      </c>
      <c r="X92" s="128">
        <f t="shared" ref="X92:X146" si="76">+(V92+W92)/2</f>
        <v>5.3</v>
      </c>
      <c r="Y92" s="128">
        <f t="shared" ref="Y92:Y146" si="77">+X92*$I$4</f>
        <v>0.79499999999999993</v>
      </c>
      <c r="Z92" s="129">
        <f t="shared" ref="Z92:Z146" si="78">IF(G92=0,0,(Y92+Y91)/2*B92)</f>
        <v>0</v>
      </c>
      <c r="AA92" s="128">
        <f t="shared" ref="AA92:AA146" si="79">IF(G92=0,0,(G91+G92)/2*B92)</f>
        <v>0</v>
      </c>
      <c r="AB92" s="130">
        <f t="shared" ref="AB92:AB146" si="80">IF(G92=0,0,(2*H91+2*H92)/2*B92)</f>
        <v>0</v>
      </c>
      <c r="AC92" s="131">
        <f t="shared" ref="AC92:AC146" si="81">IF(G92&gt;0,B92,0)</f>
        <v>0</v>
      </c>
    </row>
    <row r="93" spans="1:29" hidden="1">
      <c r="A93" s="122">
        <f t="shared" si="60"/>
        <v>840</v>
      </c>
      <c r="B93" s="123">
        <v>0</v>
      </c>
      <c r="C93" s="113"/>
      <c r="D93" s="113"/>
      <c r="E93" s="124">
        <f t="shared" si="61"/>
        <v>0</v>
      </c>
      <c r="F93" s="124">
        <f t="shared" si="62"/>
        <v>0</v>
      </c>
      <c r="G93" s="125">
        <f t="shared" si="58"/>
        <v>5</v>
      </c>
      <c r="H93" s="125">
        <f t="shared" si="59"/>
        <v>0</v>
      </c>
      <c r="I93" s="126">
        <f t="shared" si="63"/>
        <v>5</v>
      </c>
      <c r="J93" s="116">
        <f t="shared" si="64"/>
        <v>6.4</v>
      </c>
      <c r="K93" s="117">
        <f t="shared" si="65"/>
        <v>6.4</v>
      </c>
      <c r="L93" s="116">
        <f t="shared" si="66"/>
        <v>6.4</v>
      </c>
      <c r="M93" s="116">
        <f t="shared" si="67"/>
        <v>0</v>
      </c>
      <c r="N93" s="126">
        <f t="shared" si="68"/>
        <v>5.6</v>
      </c>
      <c r="O93" s="116">
        <f t="shared" si="69"/>
        <v>6.4</v>
      </c>
      <c r="P93" s="126">
        <f t="shared" si="70"/>
        <v>6</v>
      </c>
      <c r="Q93" s="126">
        <f t="shared" si="71"/>
        <v>1.2000000000000002</v>
      </c>
      <c r="R93" s="127">
        <f>(2*ปร.4_1!$W$12)*B93</f>
        <v>0</v>
      </c>
      <c r="S93" s="127">
        <f>ปร.4_1!$Z$13*Soil!B93</f>
        <v>0</v>
      </c>
      <c r="T93" s="128">
        <f t="shared" si="72"/>
        <v>0</v>
      </c>
      <c r="U93" s="128">
        <f t="shared" si="73"/>
        <v>0</v>
      </c>
      <c r="V93" s="128">
        <f t="shared" si="74"/>
        <v>5</v>
      </c>
      <c r="W93" s="128">
        <f t="shared" si="75"/>
        <v>5.6</v>
      </c>
      <c r="X93" s="128">
        <f t="shared" si="76"/>
        <v>5.3</v>
      </c>
      <c r="Y93" s="128">
        <f t="shared" si="77"/>
        <v>0.79499999999999993</v>
      </c>
      <c r="Z93" s="129">
        <f t="shared" si="78"/>
        <v>0</v>
      </c>
      <c r="AA93" s="128">
        <f t="shared" si="79"/>
        <v>0</v>
      </c>
      <c r="AB93" s="130">
        <f t="shared" si="80"/>
        <v>0</v>
      </c>
      <c r="AC93" s="131">
        <f t="shared" si="81"/>
        <v>0</v>
      </c>
    </row>
    <row r="94" spans="1:29" hidden="1">
      <c r="A94" s="122">
        <f t="shared" si="60"/>
        <v>840</v>
      </c>
      <c r="B94" s="123">
        <v>0</v>
      </c>
      <c r="C94" s="113"/>
      <c r="D94" s="113"/>
      <c r="E94" s="124">
        <f t="shared" si="61"/>
        <v>0</v>
      </c>
      <c r="F94" s="124">
        <f t="shared" si="62"/>
        <v>0</v>
      </c>
      <c r="G94" s="125">
        <f t="shared" si="58"/>
        <v>5</v>
      </c>
      <c r="H94" s="125">
        <f t="shared" si="59"/>
        <v>0</v>
      </c>
      <c r="I94" s="126">
        <f t="shared" si="63"/>
        <v>5</v>
      </c>
      <c r="J94" s="116">
        <f t="shared" si="64"/>
        <v>6.4</v>
      </c>
      <c r="K94" s="117">
        <f t="shared" si="65"/>
        <v>6.4</v>
      </c>
      <c r="L94" s="116">
        <f t="shared" si="66"/>
        <v>6.4</v>
      </c>
      <c r="M94" s="116">
        <f t="shared" si="67"/>
        <v>0</v>
      </c>
      <c r="N94" s="126">
        <f t="shared" si="68"/>
        <v>5.6</v>
      </c>
      <c r="O94" s="116">
        <f t="shared" si="69"/>
        <v>6.4</v>
      </c>
      <c r="P94" s="126">
        <f t="shared" si="70"/>
        <v>6</v>
      </c>
      <c r="Q94" s="126">
        <f t="shared" si="71"/>
        <v>1.2000000000000002</v>
      </c>
      <c r="R94" s="127">
        <f>(2*ปร.4_1!$W$12)*B94</f>
        <v>0</v>
      </c>
      <c r="S94" s="127">
        <f>ปร.4_1!$Z$13*Soil!B94</f>
        <v>0</v>
      </c>
      <c r="T94" s="128">
        <f t="shared" si="72"/>
        <v>0</v>
      </c>
      <c r="U94" s="128">
        <f t="shared" si="73"/>
        <v>0</v>
      </c>
      <c r="V94" s="128">
        <f t="shared" si="74"/>
        <v>5</v>
      </c>
      <c r="W94" s="128">
        <f t="shared" si="75"/>
        <v>5.6</v>
      </c>
      <c r="X94" s="128">
        <f t="shared" si="76"/>
        <v>5.3</v>
      </c>
      <c r="Y94" s="128">
        <f t="shared" si="77"/>
        <v>0.79499999999999993</v>
      </c>
      <c r="Z94" s="129">
        <f t="shared" si="78"/>
        <v>0</v>
      </c>
      <c r="AA94" s="128">
        <f t="shared" si="79"/>
        <v>0</v>
      </c>
      <c r="AB94" s="130">
        <f t="shared" si="80"/>
        <v>0</v>
      </c>
      <c r="AC94" s="131">
        <f t="shared" si="81"/>
        <v>0</v>
      </c>
    </row>
    <row r="95" spans="1:29" hidden="1">
      <c r="A95" s="122">
        <f t="shared" si="60"/>
        <v>840</v>
      </c>
      <c r="B95" s="123">
        <v>0</v>
      </c>
      <c r="C95" s="113"/>
      <c r="D95" s="113"/>
      <c r="E95" s="124">
        <f t="shared" si="61"/>
        <v>0</v>
      </c>
      <c r="F95" s="124">
        <f t="shared" si="62"/>
        <v>0</v>
      </c>
      <c r="G95" s="125">
        <f t="shared" si="58"/>
        <v>5</v>
      </c>
      <c r="H95" s="125">
        <f t="shared" si="59"/>
        <v>0</v>
      </c>
      <c r="I95" s="126">
        <f t="shared" si="63"/>
        <v>5</v>
      </c>
      <c r="J95" s="116">
        <f t="shared" si="64"/>
        <v>6.4</v>
      </c>
      <c r="K95" s="117">
        <f t="shared" si="65"/>
        <v>6.4</v>
      </c>
      <c r="L95" s="116">
        <f t="shared" si="66"/>
        <v>6.4</v>
      </c>
      <c r="M95" s="116">
        <f t="shared" si="67"/>
        <v>0</v>
      </c>
      <c r="N95" s="126">
        <f t="shared" si="68"/>
        <v>5.6</v>
      </c>
      <c r="O95" s="116">
        <f t="shared" si="69"/>
        <v>6.4</v>
      </c>
      <c r="P95" s="126">
        <f t="shared" si="70"/>
        <v>6</v>
      </c>
      <c r="Q95" s="126">
        <f t="shared" si="71"/>
        <v>1.2000000000000002</v>
      </c>
      <c r="R95" s="127">
        <f>(2*ปร.4_1!$W$12)*B95</f>
        <v>0</v>
      </c>
      <c r="S95" s="127">
        <f>ปร.4_1!$Z$13*Soil!B95</f>
        <v>0</v>
      </c>
      <c r="T95" s="128">
        <f t="shared" si="72"/>
        <v>0</v>
      </c>
      <c r="U95" s="128">
        <f t="shared" si="73"/>
        <v>0</v>
      </c>
      <c r="V95" s="128">
        <f t="shared" si="74"/>
        <v>5</v>
      </c>
      <c r="W95" s="128">
        <f t="shared" si="75"/>
        <v>5.6</v>
      </c>
      <c r="X95" s="128">
        <f t="shared" si="76"/>
        <v>5.3</v>
      </c>
      <c r="Y95" s="128">
        <f t="shared" si="77"/>
        <v>0.79499999999999993</v>
      </c>
      <c r="Z95" s="129">
        <f t="shared" si="78"/>
        <v>0</v>
      </c>
      <c r="AA95" s="128">
        <f t="shared" si="79"/>
        <v>0</v>
      </c>
      <c r="AB95" s="130">
        <f t="shared" si="80"/>
        <v>0</v>
      </c>
      <c r="AC95" s="131">
        <f t="shared" si="81"/>
        <v>0</v>
      </c>
    </row>
    <row r="96" spans="1:29" hidden="1">
      <c r="A96" s="122">
        <f t="shared" si="60"/>
        <v>840</v>
      </c>
      <c r="B96" s="123">
        <v>0</v>
      </c>
      <c r="C96" s="113"/>
      <c r="D96" s="113"/>
      <c r="E96" s="124">
        <f t="shared" si="61"/>
        <v>0</v>
      </c>
      <c r="F96" s="124">
        <f t="shared" si="62"/>
        <v>0</v>
      </c>
      <c r="G96" s="125">
        <f t="shared" si="58"/>
        <v>5</v>
      </c>
      <c r="H96" s="125">
        <f t="shared" si="59"/>
        <v>0</v>
      </c>
      <c r="I96" s="126">
        <f t="shared" si="63"/>
        <v>5</v>
      </c>
      <c r="J96" s="116">
        <f t="shared" si="64"/>
        <v>6.4</v>
      </c>
      <c r="K96" s="117">
        <f t="shared" si="65"/>
        <v>6.4</v>
      </c>
      <c r="L96" s="116">
        <f t="shared" si="66"/>
        <v>6.4</v>
      </c>
      <c r="M96" s="116">
        <f t="shared" si="67"/>
        <v>0</v>
      </c>
      <c r="N96" s="126">
        <f t="shared" si="68"/>
        <v>5.6</v>
      </c>
      <c r="O96" s="116">
        <f t="shared" si="69"/>
        <v>6.4</v>
      </c>
      <c r="P96" s="126">
        <f t="shared" si="70"/>
        <v>6</v>
      </c>
      <c r="Q96" s="126">
        <f t="shared" si="71"/>
        <v>1.2000000000000002</v>
      </c>
      <c r="R96" s="127">
        <f>(2*ปร.4_1!$W$12)*B96</f>
        <v>0</v>
      </c>
      <c r="S96" s="127">
        <f>ปร.4_1!$Z$13*Soil!B96</f>
        <v>0</v>
      </c>
      <c r="T96" s="128">
        <f t="shared" si="72"/>
        <v>0</v>
      </c>
      <c r="U96" s="128">
        <f t="shared" si="73"/>
        <v>0</v>
      </c>
      <c r="V96" s="128">
        <f t="shared" si="74"/>
        <v>5</v>
      </c>
      <c r="W96" s="128">
        <f t="shared" si="75"/>
        <v>5.6</v>
      </c>
      <c r="X96" s="128">
        <f t="shared" si="76"/>
        <v>5.3</v>
      </c>
      <c r="Y96" s="128">
        <f t="shared" si="77"/>
        <v>0.79499999999999993</v>
      </c>
      <c r="Z96" s="129">
        <f t="shared" si="78"/>
        <v>0</v>
      </c>
      <c r="AA96" s="128">
        <f t="shared" si="79"/>
        <v>0</v>
      </c>
      <c r="AB96" s="130">
        <f t="shared" si="80"/>
        <v>0</v>
      </c>
      <c r="AC96" s="131">
        <f t="shared" si="81"/>
        <v>0</v>
      </c>
    </row>
    <row r="97" spans="1:29" hidden="1">
      <c r="A97" s="122">
        <f t="shared" si="60"/>
        <v>840</v>
      </c>
      <c r="B97" s="123">
        <v>0</v>
      </c>
      <c r="C97" s="113"/>
      <c r="D97" s="113"/>
      <c r="E97" s="124">
        <f t="shared" si="61"/>
        <v>0</v>
      </c>
      <c r="F97" s="124">
        <f t="shared" si="62"/>
        <v>0</v>
      </c>
      <c r="G97" s="125">
        <f t="shared" si="58"/>
        <v>5</v>
      </c>
      <c r="H97" s="125">
        <f t="shared" si="59"/>
        <v>0</v>
      </c>
      <c r="I97" s="126">
        <f t="shared" si="63"/>
        <v>5</v>
      </c>
      <c r="J97" s="116">
        <f t="shared" si="64"/>
        <v>6.4</v>
      </c>
      <c r="K97" s="117">
        <f t="shared" si="65"/>
        <v>6.4</v>
      </c>
      <c r="L97" s="116">
        <f t="shared" si="66"/>
        <v>6.4</v>
      </c>
      <c r="M97" s="116">
        <f t="shared" si="67"/>
        <v>0</v>
      </c>
      <c r="N97" s="126">
        <f t="shared" si="68"/>
        <v>5.6</v>
      </c>
      <c r="O97" s="116">
        <f t="shared" si="69"/>
        <v>6.4</v>
      </c>
      <c r="P97" s="126">
        <f t="shared" si="70"/>
        <v>6</v>
      </c>
      <c r="Q97" s="126">
        <f t="shared" si="71"/>
        <v>1.2000000000000002</v>
      </c>
      <c r="R97" s="127">
        <f>(2*ปร.4_1!$W$12)*B97</f>
        <v>0</v>
      </c>
      <c r="S97" s="127">
        <f>ปร.4_1!$Z$13*Soil!B97</f>
        <v>0</v>
      </c>
      <c r="T97" s="128">
        <f t="shared" si="72"/>
        <v>0</v>
      </c>
      <c r="U97" s="128">
        <f t="shared" si="73"/>
        <v>0</v>
      </c>
      <c r="V97" s="128">
        <f t="shared" si="74"/>
        <v>5</v>
      </c>
      <c r="W97" s="128">
        <f t="shared" si="75"/>
        <v>5.6</v>
      </c>
      <c r="X97" s="128">
        <f t="shared" si="76"/>
        <v>5.3</v>
      </c>
      <c r="Y97" s="128">
        <f t="shared" si="77"/>
        <v>0.79499999999999993</v>
      </c>
      <c r="Z97" s="129">
        <f t="shared" si="78"/>
        <v>0</v>
      </c>
      <c r="AA97" s="128">
        <f t="shared" si="79"/>
        <v>0</v>
      </c>
      <c r="AB97" s="130">
        <f t="shared" si="80"/>
        <v>0</v>
      </c>
      <c r="AC97" s="131">
        <f t="shared" si="81"/>
        <v>0</v>
      </c>
    </row>
    <row r="98" spans="1:29" hidden="1">
      <c r="A98" s="122">
        <f t="shared" si="60"/>
        <v>840</v>
      </c>
      <c r="B98" s="123">
        <v>0</v>
      </c>
      <c r="C98" s="113"/>
      <c r="D98" s="113"/>
      <c r="E98" s="124">
        <f t="shared" si="61"/>
        <v>0</v>
      </c>
      <c r="F98" s="124">
        <f t="shared" si="62"/>
        <v>0</v>
      </c>
      <c r="G98" s="125">
        <f t="shared" si="58"/>
        <v>5</v>
      </c>
      <c r="H98" s="125">
        <f t="shared" si="59"/>
        <v>0</v>
      </c>
      <c r="I98" s="126">
        <f t="shared" si="63"/>
        <v>5</v>
      </c>
      <c r="J98" s="116">
        <f t="shared" si="64"/>
        <v>6.4</v>
      </c>
      <c r="K98" s="117">
        <f t="shared" si="65"/>
        <v>6.4</v>
      </c>
      <c r="L98" s="116">
        <f t="shared" si="66"/>
        <v>6.4</v>
      </c>
      <c r="M98" s="116">
        <f t="shared" si="67"/>
        <v>0</v>
      </c>
      <c r="N98" s="126">
        <f t="shared" si="68"/>
        <v>5.6</v>
      </c>
      <c r="O98" s="116">
        <f t="shared" si="69"/>
        <v>6.4</v>
      </c>
      <c r="P98" s="126">
        <f t="shared" si="70"/>
        <v>6</v>
      </c>
      <c r="Q98" s="126">
        <f t="shared" si="71"/>
        <v>1.2000000000000002</v>
      </c>
      <c r="R98" s="127">
        <f>(2*ปร.4_1!$W$12)*B98</f>
        <v>0</v>
      </c>
      <c r="S98" s="127">
        <f>ปร.4_1!$Z$13*Soil!B98</f>
        <v>0</v>
      </c>
      <c r="T98" s="128">
        <f t="shared" si="72"/>
        <v>0</v>
      </c>
      <c r="U98" s="128">
        <f t="shared" si="73"/>
        <v>0</v>
      </c>
      <c r="V98" s="128">
        <f t="shared" si="74"/>
        <v>5</v>
      </c>
      <c r="W98" s="128">
        <f t="shared" si="75"/>
        <v>5.6</v>
      </c>
      <c r="X98" s="128">
        <f t="shared" si="76"/>
        <v>5.3</v>
      </c>
      <c r="Y98" s="128">
        <f t="shared" si="77"/>
        <v>0.79499999999999993</v>
      </c>
      <c r="Z98" s="129">
        <f t="shared" si="78"/>
        <v>0</v>
      </c>
      <c r="AA98" s="128">
        <f t="shared" si="79"/>
        <v>0</v>
      </c>
      <c r="AB98" s="130">
        <f t="shared" si="80"/>
        <v>0</v>
      </c>
      <c r="AC98" s="131">
        <f t="shared" si="81"/>
        <v>0</v>
      </c>
    </row>
    <row r="99" spans="1:29" hidden="1">
      <c r="A99" s="122">
        <f t="shared" si="60"/>
        <v>840</v>
      </c>
      <c r="B99" s="123">
        <v>0</v>
      </c>
      <c r="C99" s="113"/>
      <c r="D99" s="113"/>
      <c r="E99" s="124">
        <f t="shared" si="61"/>
        <v>0</v>
      </c>
      <c r="F99" s="124">
        <f t="shared" si="62"/>
        <v>0</v>
      </c>
      <c r="G99" s="125">
        <f t="shared" si="58"/>
        <v>5</v>
      </c>
      <c r="H99" s="125">
        <f t="shared" si="59"/>
        <v>0</v>
      </c>
      <c r="I99" s="126">
        <f t="shared" si="63"/>
        <v>5</v>
      </c>
      <c r="J99" s="116">
        <f t="shared" si="64"/>
        <v>6.4</v>
      </c>
      <c r="K99" s="117">
        <f t="shared" si="65"/>
        <v>6.4</v>
      </c>
      <c r="L99" s="116">
        <f t="shared" si="66"/>
        <v>6.4</v>
      </c>
      <c r="M99" s="116">
        <f t="shared" si="67"/>
        <v>0</v>
      </c>
      <c r="N99" s="126">
        <f t="shared" si="68"/>
        <v>5.6</v>
      </c>
      <c r="O99" s="116">
        <f t="shared" si="69"/>
        <v>6.4</v>
      </c>
      <c r="P99" s="126">
        <f t="shared" si="70"/>
        <v>6</v>
      </c>
      <c r="Q99" s="126">
        <f t="shared" si="71"/>
        <v>1.2000000000000002</v>
      </c>
      <c r="R99" s="127">
        <f>(2*ปร.4_1!$W$12)*B99</f>
        <v>0</v>
      </c>
      <c r="S99" s="127">
        <f>ปร.4_1!$Z$13*Soil!B99</f>
        <v>0</v>
      </c>
      <c r="T99" s="128">
        <f t="shared" si="72"/>
        <v>0</v>
      </c>
      <c r="U99" s="128">
        <f t="shared" si="73"/>
        <v>0</v>
      </c>
      <c r="V99" s="128">
        <f t="shared" si="74"/>
        <v>5</v>
      </c>
      <c r="W99" s="128">
        <f t="shared" si="75"/>
        <v>5.6</v>
      </c>
      <c r="X99" s="128">
        <f t="shared" si="76"/>
        <v>5.3</v>
      </c>
      <c r="Y99" s="128">
        <f t="shared" si="77"/>
        <v>0.79499999999999993</v>
      </c>
      <c r="Z99" s="129">
        <f t="shared" si="78"/>
        <v>0</v>
      </c>
      <c r="AA99" s="128">
        <f t="shared" si="79"/>
        <v>0</v>
      </c>
      <c r="AB99" s="130">
        <f t="shared" si="80"/>
        <v>0</v>
      </c>
      <c r="AC99" s="131">
        <f t="shared" si="81"/>
        <v>0</v>
      </c>
    </row>
    <row r="100" spans="1:29" hidden="1">
      <c r="A100" s="122">
        <f t="shared" si="60"/>
        <v>840</v>
      </c>
      <c r="B100" s="123">
        <v>0</v>
      </c>
      <c r="C100" s="113"/>
      <c r="D100" s="113"/>
      <c r="E100" s="124">
        <f t="shared" si="61"/>
        <v>0</v>
      </c>
      <c r="F100" s="124">
        <f t="shared" si="62"/>
        <v>0</v>
      </c>
      <c r="G100" s="125">
        <f t="shared" si="58"/>
        <v>5</v>
      </c>
      <c r="H100" s="125">
        <f t="shared" si="59"/>
        <v>0</v>
      </c>
      <c r="I100" s="126">
        <f t="shared" si="63"/>
        <v>5</v>
      </c>
      <c r="J100" s="116">
        <f t="shared" si="64"/>
        <v>6.4</v>
      </c>
      <c r="K100" s="117">
        <f t="shared" si="65"/>
        <v>6.4</v>
      </c>
      <c r="L100" s="116">
        <f t="shared" si="66"/>
        <v>6.4</v>
      </c>
      <c r="M100" s="116">
        <f t="shared" si="67"/>
        <v>0</v>
      </c>
      <c r="N100" s="126">
        <f t="shared" si="68"/>
        <v>5.6</v>
      </c>
      <c r="O100" s="116">
        <f t="shared" si="69"/>
        <v>6.4</v>
      </c>
      <c r="P100" s="126">
        <f t="shared" si="70"/>
        <v>6</v>
      </c>
      <c r="Q100" s="126">
        <f t="shared" si="71"/>
        <v>1.2000000000000002</v>
      </c>
      <c r="R100" s="127">
        <f>(2*ปร.4_1!$W$12)*B100</f>
        <v>0</v>
      </c>
      <c r="S100" s="127">
        <f>ปร.4_1!$Z$13*Soil!B100</f>
        <v>0</v>
      </c>
      <c r="T100" s="128">
        <f t="shared" si="72"/>
        <v>0</v>
      </c>
      <c r="U100" s="128">
        <f t="shared" si="73"/>
        <v>0</v>
      </c>
      <c r="V100" s="128">
        <f t="shared" si="74"/>
        <v>5</v>
      </c>
      <c r="W100" s="128">
        <f t="shared" si="75"/>
        <v>5.6</v>
      </c>
      <c r="X100" s="128">
        <f t="shared" si="76"/>
        <v>5.3</v>
      </c>
      <c r="Y100" s="128">
        <f t="shared" si="77"/>
        <v>0.79499999999999993</v>
      </c>
      <c r="Z100" s="129">
        <f t="shared" si="78"/>
        <v>0</v>
      </c>
      <c r="AA100" s="128">
        <f t="shared" si="79"/>
        <v>0</v>
      </c>
      <c r="AB100" s="130">
        <f t="shared" si="80"/>
        <v>0</v>
      </c>
      <c r="AC100" s="131">
        <f t="shared" si="81"/>
        <v>0</v>
      </c>
    </row>
    <row r="101" spans="1:29" hidden="1">
      <c r="A101" s="122">
        <f t="shared" si="60"/>
        <v>840</v>
      </c>
      <c r="B101" s="123">
        <v>0</v>
      </c>
      <c r="C101" s="113"/>
      <c r="D101" s="113"/>
      <c r="E101" s="124">
        <f t="shared" si="61"/>
        <v>0</v>
      </c>
      <c r="F101" s="124">
        <f t="shared" si="62"/>
        <v>0</v>
      </c>
      <c r="G101" s="125">
        <f t="shared" si="58"/>
        <v>5</v>
      </c>
      <c r="H101" s="125">
        <f t="shared" si="59"/>
        <v>0</v>
      </c>
      <c r="I101" s="126">
        <f t="shared" si="63"/>
        <v>5</v>
      </c>
      <c r="J101" s="116">
        <f t="shared" si="64"/>
        <v>6.4</v>
      </c>
      <c r="K101" s="117">
        <f t="shared" si="65"/>
        <v>6.4</v>
      </c>
      <c r="L101" s="116">
        <f t="shared" si="66"/>
        <v>6.4</v>
      </c>
      <c r="M101" s="116">
        <f t="shared" si="67"/>
        <v>0</v>
      </c>
      <c r="N101" s="126">
        <f t="shared" si="68"/>
        <v>5.6</v>
      </c>
      <c r="O101" s="116">
        <f t="shared" si="69"/>
        <v>6.4</v>
      </c>
      <c r="P101" s="126">
        <f t="shared" si="70"/>
        <v>6</v>
      </c>
      <c r="Q101" s="126">
        <f t="shared" si="71"/>
        <v>1.2000000000000002</v>
      </c>
      <c r="R101" s="127">
        <f>(2*ปร.4_1!$W$12)*B101</f>
        <v>0</v>
      </c>
      <c r="S101" s="127">
        <f>ปร.4_1!$Z$13*Soil!B101</f>
        <v>0</v>
      </c>
      <c r="T101" s="128">
        <f t="shared" si="72"/>
        <v>0</v>
      </c>
      <c r="U101" s="128">
        <f t="shared" si="73"/>
        <v>0</v>
      </c>
      <c r="V101" s="128">
        <f t="shared" si="74"/>
        <v>5</v>
      </c>
      <c r="W101" s="128">
        <f t="shared" si="75"/>
        <v>5.6</v>
      </c>
      <c r="X101" s="128">
        <f t="shared" si="76"/>
        <v>5.3</v>
      </c>
      <c r="Y101" s="128">
        <f t="shared" si="77"/>
        <v>0.79499999999999993</v>
      </c>
      <c r="Z101" s="129">
        <f t="shared" si="78"/>
        <v>0</v>
      </c>
      <c r="AA101" s="128">
        <f t="shared" si="79"/>
        <v>0</v>
      </c>
      <c r="AB101" s="130">
        <f t="shared" si="80"/>
        <v>0</v>
      </c>
      <c r="AC101" s="131">
        <f t="shared" si="81"/>
        <v>0</v>
      </c>
    </row>
    <row r="102" spans="1:29" hidden="1">
      <c r="A102" s="122">
        <f t="shared" si="60"/>
        <v>840</v>
      </c>
      <c r="B102" s="123">
        <v>0</v>
      </c>
      <c r="C102" s="113"/>
      <c r="D102" s="113"/>
      <c r="E102" s="124">
        <f t="shared" si="61"/>
        <v>0</v>
      </c>
      <c r="F102" s="124">
        <f t="shared" si="62"/>
        <v>0</v>
      </c>
      <c r="G102" s="125">
        <f t="shared" si="58"/>
        <v>5</v>
      </c>
      <c r="H102" s="125">
        <f t="shared" si="59"/>
        <v>0</v>
      </c>
      <c r="I102" s="126">
        <f t="shared" si="63"/>
        <v>5</v>
      </c>
      <c r="J102" s="116">
        <f t="shared" si="64"/>
        <v>6.4</v>
      </c>
      <c r="K102" s="117">
        <f t="shared" si="65"/>
        <v>6.4</v>
      </c>
      <c r="L102" s="116">
        <f t="shared" si="66"/>
        <v>6.4</v>
      </c>
      <c r="M102" s="116">
        <f t="shared" si="67"/>
        <v>0</v>
      </c>
      <c r="N102" s="126">
        <f t="shared" si="68"/>
        <v>5.6</v>
      </c>
      <c r="O102" s="116">
        <f t="shared" si="69"/>
        <v>6.4</v>
      </c>
      <c r="P102" s="126">
        <f t="shared" si="70"/>
        <v>6</v>
      </c>
      <c r="Q102" s="126">
        <f t="shared" si="71"/>
        <v>1.2000000000000002</v>
      </c>
      <c r="R102" s="127">
        <f>(2*ปร.4_1!$W$12)*B102</f>
        <v>0</v>
      </c>
      <c r="S102" s="127">
        <f>ปร.4_1!$Z$13*Soil!B102</f>
        <v>0</v>
      </c>
      <c r="T102" s="128">
        <f t="shared" si="72"/>
        <v>0</v>
      </c>
      <c r="U102" s="128">
        <f t="shared" si="73"/>
        <v>0</v>
      </c>
      <c r="V102" s="128">
        <f t="shared" si="74"/>
        <v>5</v>
      </c>
      <c r="W102" s="128">
        <f t="shared" si="75"/>
        <v>5.6</v>
      </c>
      <c r="X102" s="128">
        <f t="shared" si="76"/>
        <v>5.3</v>
      </c>
      <c r="Y102" s="128">
        <f t="shared" si="77"/>
        <v>0.79499999999999993</v>
      </c>
      <c r="Z102" s="129">
        <f t="shared" si="78"/>
        <v>0</v>
      </c>
      <c r="AA102" s="128">
        <f t="shared" si="79"/>
        <v>0</v>
      </c>
      <c r="AB102" s="130">
        <f t="shared" si="80"/>
        <v>0</v>
      </c>
      <c r="AC102" s="131">
        <f t="shared" si="81"/>
        <v>0</v>
      </c>
    </row>
    <row r="103" spans="1:29" hidden="1">
      <c r="A103" s="122">
        <f t="shared" si="60"/>
        <v>840</v>
      </c>
      <c r="B103" s="123">
        <v>0</v>
      </c>
      <c r="C103" s="113"/>
      <c r="D103" s="113"/>
      <c r="E103" s="124">
        <f t="shared" si="61"/>
        <v>0</v>
      </c>
      <c r="F103" s="124">
        <f t="shared" si="62"/>
        <v>0</v>
      </c>
      <c r="G103" s="125">
        <f t="shared" si="58"/>
        <v>5</v>
      </c>
      <c r="H103" s="125">
        <f t="shared" si="59"/>
        <v>0</v>
      </c>
      <c r="I103" s="126">
        <f t="shared" si="63"/>
        <v>5</v>
      </c>
      <c r="J103" s="116">
        <f t="shared" si="64"/>
        <v>6.4</v>
      </c>
      <c r="K103" s="117">
        <f t="shared" si="65"/>
        <v>6.4</v>
      </c>
      <c r="L103" s="116">
        <f t="shared" si="66"/>
        <v>6.4</v>
      </c>
      <c r="M103" s="116">
        <f t="shared" si="67"/>
        <v>0</v>
      </c>
      <c r="N103" s="126">
        <f t="shared" si="68"/>
        <v>5.6</v>
      </c>
      <c r="O103" s="116">
        <f t="shared" si="69"/>
        <v>6.4</v>
      </c>
      <c r="P103" s="126">
        <f t="shared" si="70"/>
        <v>6</v>
      </c>
      <c r="Q103" s="126">
        <f t="shared" si="71"/>
        <v>1.2000000000000002</v>
      </c>
      <c r="R103" s="127">
        <f>(2*ปร.4_1!$W$12)*B103</f>
        <v>0</v>
      </c>
      <c r="S103" s="127">
        <f>ปร.4_1!$Z$13*Soil!B103</f>
        <v>0</v>
      </c>
      <c r="T103" s="128">
        <f t="shared" si="72"/>
        <v>0</v>
      </c>
      <c r="U103" s="128">
        <f t="shared" si="73"/>
        <v>0</v>
      </c>
      <c r="V103" s="128">
        <f t="shared" si="74"/>
        <v>5</v>
      </c>
      <c r="W103" s="128">
        <f t="shared" si="75"/>
        <v>5.6</v>
      </c>
      <c r="X103" s="128">
        <f t="shared" si="76"/>
        <v>5.3</v>
      </c>
      <c r="Y103" s="128">
        <f t="shared" si="77"/>
        <v>0.79499999999999993</v>
      </c>
      <c r="Z103" s="129">
        <f t="shared" si="78"/>
        <v>0</v>
      </c>
      <c r="AA103" s="128">
        <f t="shared" si="79"/>
        <v>0</v>
      </c>
      <c r="AB103" s="130">
        <f t="shared" si="80"/>
        <v>0</v>
      </c>
      <c r="AC103" s="131">
        <f t="shared" si="81"/>
        <v>0</v>
      </c>
    </row>
    <row r="104" spans="1:29" hidden="1">
      <c r="A104" s="122">
        <f t="shared" si="60"/>
        <v>840</v>
      </c>
      <c r="B104" s="123">
        <v>0</v>
      </c>
      <c r="C104" s="113"/>
      <c r="D104" s="113"/>
      <c r="E104" s="124">
        <f t="shared" si="61"/>
        <v>0</v>
      </c>
      <c r="F104" s="124">
        <f t="shared" si="62"/>
        <v>0</v>
      </c>
      <c r="G104" s="125">
        <f t="shared" si="58"/>
        <v>5</v>
      </c>
      <c r="H104" s="125">
        <f t="shared" si="59"/>
        <v>0</v>
      </c>
      <c r="I104" s="126">
        <f t="shared" si="63"/>
        <v>5</v>
      </c>
      <c r="J104" s="116">
        <f t="shared" si="64"/>
        <v>6.4</v>
      </c>
      <c r="K104" s="117">
        <f t="shared" si="65"/>
        <v>6.4</v>
      </c>
      <c r="L104" s="116">
        <f t="shared" si="66"/>
        <v>6.4</v>
      </c>
      <c r="M104" s="116">
        <f t="shared" si="67"/>
        <v>0</v>
      </c>
      <c r="N104" s="126">
        <f t="shared" si="68"/>
        <v>5.6</v>
      </c>
      <c r="O104" s="116">
        <f t="shared" si="69"/>
        <v>6.4</v>
      </c>
      <c r="P104" s="126">
        <f t="shared" si="70"/>
        <v>6</v>
      </c>
      <c r="Q104" s="126">
        <f t="shared" si="71"/>
        <v>1.2000000000000002</v>
      </c>
      <c r="R104" s="127">
        <f>(2*ปร.4_1!$W$12)*B104</f>
        <v>0</v>
      </c>
      <c r="S104" s="127">
        <f>ปร.4_1!$Z$13*Soil!B104</f>
        <v>0</v>
      </c>
      <c r="T104" s="128">
        <f t="shared" si="72"/>
        <v>0</v>
      </c>
      <c r="U104" s="128">
        <f t="shared" si="73"/>
        <v>0</v>
      </c>
      <c r="V104" s="128">
        <f t="shared" si="74"/>
        <v>5</v>
      </c>
      <c r="W104" s="128">
        <f t="shared" si="75"/>
        <v>5.6</v>
      </c>
      <c r="X104" s="128">
        <f t="shared" si="76"/>
        <v>5.3</v>
      </c>
      <c r="Y104" s="128">
        <f t="shared" si="77"/>
        <v>0.79499999999999993</v>
      </c>
      <c r="Z104" s="129">
        <f t="shared" si="78"/>
        <v>0</v>
      </c>
      <c r="AA104" s="128">
        <f t="shared" si="79"/>
        <v>0</v>
      </c>
      <c r="AB104" s="130">
        <f t="shared" si="80"/>
        <v>0</v>
      </c>
      <c r="AC104" s="131">
        <f t="shared" si="81"/>
        <v>0</v>
      </c>
    </row>
    <row r="105" spans="1:29" hidden="1">
      <c r="A105" s="122">
        <f t="shared" si="60"/>
        <v>840</v>
      </c>
      <c r="B105" s="123">
        <v>0</v>
      </c>
      <c r="C105" s="113"/>
      <c r="D105" s="113"/>
      <c r="E105" s="124">
        <f t="shared" si="61"/>
        <v>0</v>
      </c>
      <c r="F105" s="124">
        <f t="shared" si="62"/>
        <v>0</v>
      </c>
      <c r="G105" s="125">
        <f t="shared" si="58"/>
        <v>5</v>
      </c>
      <c r="H105" s="125">
        <f t="shared" si="59"/>
        <v>0</v>
      </c>
      <c r="I105" s="126">
        <f t="shared" si="63"/>
        <v>5</v>
      </c>
      <c r="J105" s="116">
        <f t="shared" si="64"/>
        <v>6.4</v>
      </c>
      <c r="K105" s="117">
        <f t="shared" si="65"/>
        <v>6.4</v>
      </c>
      <c r="L105" s="116">
        <f t="shared" si="66"/>
        <v>6.4</v>
      </c>
      <c r="M105" s="116">
        <f t="shared" si="67"/>
        <v>0</v>
      </c>
      <c r="N105" s="126">
        <f t="shared" si="68"/>
        <v>5.6</v>
      </c>
      <c r="O105" s="116">
        <f t="shared" si="69"/>
        <v>6.4</v>
      </c>
      <c r="P105" s="126">
        <f t="shared" si="70"/>
        <v>6</v>
      </c>
      <c r="Q105" s="126">
        <f t="shared" si="71"/>
        <v>1.2000000000000002</v>
      </c>
      <c r="R105" s="127">
        <f>(2*ปร.4_1!$W$12)*B105</f>
        <v>0</v>
      </c>
      <c r="S105" s="127">
        <f>ปร.4_1!$Z$13*Soil!B105</f>
        <v>0</v>
      </c>
      <c r="T105" s="128">
        <f t="shared" si="72"/>
        <v>0</v>
      </c>
      <c r="U105" s="128">
        <f t="shared" si="73"/>
        <v>0</v>
      </c>
      <c r="V105" s="128">
        <f t="shared" si="74"/>
        <v>5</v>
      </c>
      <c r="W105" s="128">
        <f t="shared" si="75"/>
        <v>5.6</v>
      </c>
      <c r="X105" s="128">
        <f t="shared" si="76"/>
        <v>5.3</v>
      </c>
      <c r="Y105" s="128">
        <f t="shared" si="77"/>
        <v>0.79499999999999993</v>
      </c>
      <c r="Z105" s="129">
        <f t="shared" si="78"/>
        <v>0</v>
      </c>
      <c r="AA105" s="128">
        <f t="shared" si="79"/>
        <v>0</v>
      </c>
      <c r="AB105" s="130">
        <f t="shared" si="80"/>
        <v>0</v>
      </c>
      <c r="AC105" s="131">
        <f t="shared" si="81"/>
        <v>0</v>
      </c>
    </row>
    <row r="106" spans="1:29" hidden="1">
      <c r="A106" s="122">
        <f t="shared" si="60"/>
        <v>840</v>
      </c>
      <c r="B106" s="123">
        <v>0</v>
      </c>
      <c r="C106" s="113"/>
      <c r="D106" s="113"/>
      <c r="E106" s="124">
        <f t="shared" si="61"/>
        <v>0</v>
      </c>
      <c r="F106" s="124">
        <f t="shared" si="62"/>
        <v>0</v>
      </c>
      <c r="G106" s="125">
        <f t="shared" si="58"/>
        <v>5</v>
      </c>
      <c r="H106" s="125">
        <f t="shared" si="59"/>
        <v>0</v>
      </c>
      <c r="I106" s="126">
        <f t="shared" si="63"/>
        <v>5</v>
      </c>
      <c r="J106" s="116">
        <f t="shared" si="64"/>
        <v>6.4</v>
      </c>
      <c r="K106" s="117">
        <f t="shared" si="65"/>
        <v>6.4</v>
      </c>
      <c r="L106" s="116">
        <f t="shared" si="66"/>
        <v>6.4</v>
      </c>
      <c r="M106" s="116">
        <f t="shared" si="67"/>
        <v>0</v>
      </c>
      <c r="N106" s="126">
        <f t="shared" si="68"/>
        <v>5.6</v>
      </c>
      <c r="O106" s="116">
        <f t="shared" si="69"/>
        <v>6.4</v>
      </c>
      <c r="P106" s="126">
        <f t="shared" si="70"/>
        <v>6</v>
      </c>
      <c r="Q106" s="126">
        <f t="shared" si="71"/>
        <v>1.2000000000000002</v>
      </c>
      <c r="R106" s="127">
        <f>(2*ปร.4_1!$W$12)*B106</f>
        <v>0</v>
      </c>
      <c r="S106" s="127">
        <f>ปร.4_1!$Z$13*Soil!B106</f>
        <v>0</v>
      </c>
      <c r="T106" s="128">
        <f t="shared" si="72"/>
        <v>0</v>
      </c>
      <c r="U106" s="128">
        <f t="shared" si="73"/>
        <v>0</v>
      </c>
      <c r="V106" s="128">
        <f t="shared" si="74"/>
        <v>5</v>
      </c>
      <c r="W106" s="128">
        <f t="shared" si="75"/>
        <v>5.6</v>
      </c>
      <c r="X106" s="128">
        <f t="shared" si="76"/>
        <v>5.3</v>
      </c>
      <c r="Y106" s="128">
        <f t="shared" si="77"/>
        <v>0.79499999999999993</v>
      </c>
      <c r="Z106" s="129">
        <f t="shared" si="78"/>
        <v>0</v>
      </c>
      <c r="AA106" s="128">
        <f t="shared" si="79"/>
        <v>0</v>
      </c>
      <c r="AB106" s="130">
        <f t="shared" si="80"/>
        <v>0</v>
      </c>
      <c r="AC106" s="131">
        <f t="shared" si="81"/>
        <v>0</v>
      </c>
    </row>
    <row r="107" spans="1:29" hidden="1">
      <c r="A107" s="122">
        <f t="shared" si="60"/>
        <v>840</v>
      </c>
      <c r="B107" s="123">
        <v>0</v>
      </c>
      <c r="C107" s="113"/>
      <c r="D107" s="113"/>
      <c r="E107" s="124">
        <f t="shared" si="61"/>
        <v>0</v>
      </c>
      <c r="F107" s="124">
        <f t="shared" si="62"/>
        <v>0</v>
      </c>
      <c r="G107" s="125">
        <f t="shared" si="58"/>
        <v>5</v>
      </c>
      <c r="H107" s="125">
        <f t="shared" si="59"/>
        <v>0</v>
      </c>
      <c r="I107" s="126">
        <f t="shared" si="63"/>
        <v>5</v>
      </c>
      <c r="J107" s="116">
        <f t="shared" si="64"/>
        <v>6.4</v>
      </c>
      <c r="K107" s="117">
        <f t="shared" si="65"/>
        <v>6.4</v>
      </c>
      <c r="L107" s="116">
        <f t="shared" si="66"/>
        <v>6.4</v>
      </c>
      <c r="M107" s="116">
        <f t="shared" si="67"/>
        <v>0</v>
      </c>
      <c r="N107" s="126">
        <f t="shared" si="68"/>
        <v>5.6</v>
      </c>
      <c r="O107" s="116">
        <f t="shared" si="69"/>
        <v>6.4</v>
      </c>
      <c r="P107" s="126">
        <f t="shared" si="70"/>
        <v>6</v>
      </c>
      <c r="Q107" s="126">
        <f t="shared" si="71"/>
        <v>1.2000000000000002</v>
      </c>
      <c r="R107" s="127">
        <f>(2*ปร.4_1!$W$12)*B107</f>
        <v>0</v>
      </c>
      <c r="S107" s="127">
        <f>ปร.4_1!$Z$13*Soil!B107</f>
        <v>0</v>
      </c>
      <c r="T107" s="128">
        <f t="shared" si="72"/>
        <v>0</v>
      </c>
      <c r="U107" s="128">
        <f t="shared" si="73"/>
        <v>0</v>
      </c>
      <c r="V107" s="128">
        <f t="shared" si="74"/>
        <v>5</v>
      </c>
      <c r="W107" s="128">
        <f t="shared" si="75"/>
        <v>5.6</v>
      </c>
      <c r="X107" s="128">
        <f t="shared" si="76"/>
        <v>5.3</v>
      </c>
      <c r="Y107" s="128">
        <f t="shared" si="77"/>
        <v>0.79499999999999993</v>
      </c>
      <c r="Z107" s="129">
        <f t="shared" si="78"/>
        <v>0</v>
      </c>
      <c r="AA107" s="128">
        <f t="shared" si="79"/>
        <v>0</v>
      </c>
      <c r="AB107" s="130">
        <f t="shared" si="80"/>
        <v>0</v>
      </c>
      <c r="AC107" s="131">
        <f t="shared" si="81"/>
        <v>0</v>
      </c>
    </row>
    <row r="108" spans="1:29" hidden="1">
      <c r="A108" s="122">
        <f t="shared" si="60"/>
        <v>840</v>
      </c>
      <c r="B108" s="123">
        <v>0</v>
      </c>
      <c r="C108" s="113"/>
      <c r="D108" s="113"/>
      <c r="E108" s="124">
        <f t="shared" si="61"/>
        <v>0</v>
      </c>
      <c r="F108" s="124">
        <f t="shared" si="62"/>
        <v>0</v>
      </c>
      <c r="G108" s="125">
        <f t="shared" si="58"/>
        <v>5</v>
      </c>
      <c r="H108" s="125">
        <f t="shared" si="59"/>
        <v>0</v>
      </c>
      <c r="I108" s="126">
        <f t="shared" si="63"/>
        <v>5</v>
      </c>
      <c r="J108" s="116">
        <f t="shared" si="64"/>
        <v>6.4</v>
      </c>
      <c r="K108" s="117">
        <f t="shared" si="65"/>
        <v>6.4</v>
      </c>
      <c r="L108" s="116">
        <f t="shared" si="66"/>
        <v>6.4</v>
      </c>
      <c r="M108" s="116">
        <f t="shared" si="67"/>
        <v>0</v>
      </c>
      <c r="N108" s="126">
        <f t="shared" si="68"/>
        <v>5.6</v>
      </c>
      <c r="O108" s="116">
        <f t="shared" si="69"/>
        <v>6.4</v>
      </c>
      <c r="P108" s="126">
        <f t="shared" si="70"/>
        <v>6</v>
      </c>
      <c r="Q108" s="126">
        <f t="shared" si="71"/>
        <v>1.2000000000000002</v>
      </c>
      <c r="R108" s="127">
        <f>(2*ปร.4_1!$W$12)*B108</f>
        <v>0</v>
      </c>
      <c r="S108" s="127">
        <f>ปร.4_1!$Z$13*Soil!B108</f>
        <v>0</v>
      </c>
      <c r="T108" s="128">
        <f t="shared" si="72"/>
        <v>0</v>
      </c>
      <c r="U108" s="128">
        <f t="shared" si="73"/>
        <v>0</v>
      </c>
      <c r="V108" s="128">
        <f t="shared" si="74"/>
        <v>5</v>
      </c>
      <c r="W108" s="128">
        <f t="shared" si="75"/>
        <v>5.6</v>
      </c>
      <c r="X108" s="128">
        <f t="shared" si="76"/>
        <v>5.3</v>
      </c>
      <c r="Y108" s="128">
        <f t="shared" si="77"/>
        <v>0.79499999999999993</v>
      </c>
      <c r="Z108" s="129">
        <f t="shared" si="78"/>
        <v>0</v>
      </c>
      <c r="AA108" s="128">
        <f t="shared" si="79"/>
        <v>0</v>
      </c>
      <c r="AB108" s="130">
        <f t="shared" si="80"/>
        <v>0</v>
      </c>
      <c r="AC108" s="131">
        <f t="shared" si="81"/>
        <v>0</v>
      </c>
    </row>
    <row r="109" spans="1:29" hidden="1">
      <c r="A109" s="122">
        <f t="shared" si="60"/>
        <v>840</v>
      </c>
      <c r="B109" s="123">
        <v>0</v>
      </c>
      <c r="C109" s="113"/>
      <c r="D109" s="113"/>
      <c r="E109" s="124">
        <f t="shared" si="61"/>
        <v>0</v>
      </c>
      <c r="F109" s="124">
        <f t="shared" si="62"/>
        <v>0</v>
      </c>
      <c r="G109" s="125">
        <f t="shared" si="58"/>
        <v>5</v>
      </c>
      <c r="H109" s="125">
        <f t="shared" si="59"/>
        <v>0</v>
      </c>
      <c r="I109" s="126">
        <f t="shared" si="63"/>
        <v>5</v>
      </c>
      <c r="J109" s="116">
        <f t="shared" si="64"/>
        <v>6.4</v>
      </c>
      <c r="K109" s="117">
        <f t="shared" si="65"/>
        <v>6.4</v>
      </c>
      <c r="L109" s="116">
        <f t="shared" si="66"/>
        <v>6.4</v>
      </c>
      <c r="M109" s="116">
        <f t="shared" si="67"/>
        <v>0</v>
      </c>
      <c r="N109" s="126">
        <f t="shared" si="68"/>
        <v>5.6</v>
      </c>
      <c r="O109" s="116">
        <f t="shared" si="69"/>
        <v>6.4</v>
      </c>
      <c r="P109" s="126">
        <f t="shared" si="70"/>
        <v>6</v>
      </c>
      <c r="Q109" s="126">
        <f t="shared" si="71"/>
        <v>1.2000000000000002</v>
      </c>
      <c r="R109" s="127">
        <f>(2*ปร.4_1!$W$12)*B109</f>
        <v>0</v>
      </c>
      <c r="S109" s="127">
        <f>ปร.4_1!$Z$13*Soil!B109</f>
        <v>0</v>
      </c>
      <c r="T109" s="128">
        <f t="shared" si="72"/>
        <v>0</v>
      </c>
      <c r="U109" s="128">
        <f t="shared" si="73"/>
        <v>0</v>
      </c>
      <c r="V109" s="128">
        <f t="shared" si="74"/>
        <v>5</v>
      </c>
      <c r="W109" s="128">
        <f t="shared" si="75"/>
        <v>5.6</v>
      </c>
      <c r="X109" s="128">
        <f t="shared" si="76"/>
        <v>5.3</v>
      </c>
      <c r="Y109" s="128">
        <f t="shared" si="77"/>
        <v>0.79499999999999993</v>
      </c>
      <c r="Z109" s="129">
        <f t="shared" si="78"/>
        <v>0</v>
      </c>
      <c r="AA109" s="128">
        <f t="shared" si="79"/>
        <v>0</v>
      </c>
      <c r="AB109" s="130">
        <f t="shared" si="80"/>
        <v>0</v>
      </c>
      <c r="AC109" s="131">
        <f t="shared" si="81"/>
        <v>0</v>
      </c>
    </row>
    <row r="110" spans="1:29" hidden="1">
      <c r="A110" s="122">
        <f t="shared" si="60"/>
        <v>840</v>
      </c>
      <c r="B110" s="123">
        <v>0</v>
      </c>
      <c r="C110" s="113"/>
      <c r="D110" s="113"/>
      <c r="E110" s="124">
        <f t="shared" si="61"/>
        <v>0</v>
      </c>
      <c r="F110" s="124">
        <f t="shared" si="62"/>
        <v>0</v>
      </c>
      <c r="G110" s="125">
        <f t="shared" si="58"/>
        <v>5</v>
      </c>
      <c r="H110" s="125">
        <f t="shared" si="59"/>
        <v>0</v>
      </c>
      <c r="I110" s="126">
        <f t="shared" si="63"/>
        <v>5</v>
      </c>
      <c r="J110" s="116">
        <f t="shared" si="64"/>
        <v>6.4</v>
      </c>
      <c r="K110" s="117">
        <f t="shared" si="65"/>
        <v>6.4</v>
      </c>
      <c r="L110" s="116">
        <f t="shared" si="66"/>
        <v>6.4</v>
      </c>
      <c r="M110" s="116">
        <f t="shared" si="67"/>
        <v>0</v>
      </c>
      <c r="N110" s="126">
        <f t="shared" si="68"/>
        <v>5.6</v>
      </c>
      <c r="O110" s="116">
        <f t="shared" si="69"/>
        <v>6.4</v>
      </c>
      <c r="P110" s="126">
        <f t="shared" si="70"/>
        <v>6</v>
      </c>
      <c r="Q110" s="126">
        <f t="shared" si="71"/>
        <v>1.2000000000000002</v>
      </c>
      <c r="R110" s="127">
        <f>(2*ปร.4_1!$W$12)*B110</f>
        <v>0</v>
      </c>
      <c r="S110" s="127">
        <f>ปร.4_1!$Z$13*Soil!B110</f>
        <v>0</v>
      </c>
      <c r="T110" s="128">
        <f t="shared" si="72"/>
        <v>0</v>
      </c>
      <c r="U110" s="128">
        <f t="shared" si="73"/>
        <v>0</v>
      </c>
      <c r="V110" s="128">
        <f t="shared" si="74"/>
        <v>5</v>
      </c>
      <c r="W110" s="128">
        <f t="shared" si="75"/>
        <v>5.6</v>
      </c>
      <c r="X110" s="128">
        <f t="shared" si="76"/>
        <v>5.3</v>
      </c>
      <c r="Y110" s="128">
        <f t="shared" si="77"/>
        <v>0.79499999999999993</v>
      </c>
      <c r="Z110" s="129">
        <f t="shared" si="78"/>
        <v>0</v>
      </c>
      <c r="AA110" s="128">
        <f t="shared" si="79"/>
        <v>0</v>
      </c>
      <c r="AB110" s="130">
        <f t="shared" si="80"/>
        <v>0</v>
      </c>
      <c r="AC110" s="131">
        <f t="shared" si="81"/>
        <v>0</v>
      </c>
    </row>
    <row r="111" spans="1:29" hidden="1">
      <c r="A111" s="122">
        <f t="shared" si="60"/>
        <v>840</v>
      </c>
      <c r="B111" s="123">
        <v>0</v>
      </c>
      <c r="C111" s="113"/>
      <c r="D111" s="113"/>
      <c r="E111" s="124">
        <f t="shared" si="61"/>
        <v>0</v>
      </c>
      <c r="F111" s="124">
        <f t="shared" si="62"/>
        <v>0</v>
      </c>
      <c r="G111" s="125">
        <f t="shared" si="58"/>
        <v>5</v>
      </c>
      <c r="H111" s="125">
        <f t="shared" si="59"/>
        <v>0</v>
      </c>
      <c r="I111" s="126">
        <f t="shared" si="63"/>
        <v>5</v>
      </c>
      <c r="J111" s="116">
        <f t="shared" si="64"/>
        <v>6.4</v>
      </c>
      <c r="K111" s="117">
        <f t="shared" si="65"/>
        <v>6.4</v>
      </c>
      <c r="L111" s="116">
        <f t="shared" si="66"/>
        <v>6.4</v>
      </c>
      <c r="M111" s="116">
        <f t="shared" si="67"/>
        <v>0</v>
      </c>
      <c r="N111" s="126">
        <f t="shared" si="68"/>
        <v>5.6</v>
      </c>
      <c r="O111" s="116">
        <f t="shared" si="69"/>
        <v>6.4</v>
      </c>
      <c r="P111" s="126">
        <f t="shared" si="70"/>
        <v>6</v>
      </c>
      <c r="Q111" s="126">
        <f t="shared" si="71"/>
        <v>1.2000000000000002</v>
      </c>
      <c r="R111" s="127">
        <f>(2*ปร.4_1!$W$12)*B111</f>
        <v>0</v>
      </c>
      <c r="S111" s="127">
        <f>ปร.4_1!$Z$13*Soil!B111</f>
        <v>0</v>
      </c>
      <c r="T111" s="128">
        <f t="shared" si="72"/>
        <v>0</v>
      </c>
      <c r="U111" s="128">
        <f t="shared" si="73"/>
        <v>0</v>
      </c>
      <c r="V111" s="128">
        <f t="shared" si="74"/>
        <v>5</v>
      </c>
      <c r="W111" s="128">
        <f t="shared" si="75"/>
        <v>5.6</v>
      </c>
      <c r="X111" s="128">
        <f t="shared" si="76"/>
        <v>5.3</v>
      </c>
      <c r="Y111" s="128">
        <f t="shared" si="77"/>
        <v>0.79499999999999993</v>
      </c>
      <c r="Z111" s="129">
        <f t="shared" si="78"/>
        <v>0</v>
      </c>
      <c r="AA111" s="128">
        <f t="shared" si="79"/>
        <v>0</v>
      </c>
      <c r="AB111" s="130">
        <f t="shared" si="80"/>
        <v>0</v>
      </c>
      <c r="AC111" s="131">
        <f t="shared" si="81"/>
        <v>0</v>
      </c>
    </row>
    <row r="112" spans="1:29" hidden="1">
      <c r="A112" s="122">
        <f t="shared" si="60"/>
        <v>840</v>
      </c>
      <c r="B112" s="123">
        <v>0</v>
      </c>
      <c r="C112" s="113"/>
      <c r="D112" s="113"/>
      <c r="E112" s="124">
        <f t="shared" si="61"/>
        <v>0</v>
      </c>
      <c r="F112" s="124">
        <f t="shared" si="62"/>
        <v>0</v>
      </c>
      <c r="G112" s="125">
        <f t="shared" si="58"/>
        <v>5</v>
      </c>
      <c r="H112" s="125">
        <f t="shared" si="59"/>
        <v>0</v>
      </c>
      <c r="I112" s="126">
        <f t="shared" si="63"/>
        <v>5</v>
      </c>
      <c r="J112" s="116">
        <f t="shared" si="64"/>
        <v>6.4</v>
      </c>
      <c r="K112" s="117">
        <f t="shared" si="65"/>
        <v>6.4</v>
      </c>
      <c r="L112" s="116">
        <f t="shared" si="66"/>
        <v>6.4</v>
      </c>
      <c r="M112" s="116">
        <f t="shared" si="67"/>
        <v>0</v>
      </c>
      <c r="N112" s="126">
        <f t="shared" si="68"/>
        <v>5.6</v>
      </c>
      <c r="O112" s="116">
        <f t="shared" si="69"/>
        <v>6.4</v>
      </c>
      <c r="P112" s="126">
        <f t="shared" si="70"/>
        <v>6</v>
      </c>
      <c r="Q112" s="126">
        <f t="shared" si="71"/>
        <v>1.2000000000000002</v>
      </c>
      <c r="R112" s="127">
        <f>(2*ปร.4_1!$W$12)*B112</f>
        <v>0</v>
      </c>
      <c r="S112" s="127">
        <f>ปร.4_1!$Z$13*Soil!B112</f>
        <v>0</v>
      </c>
      <c r="T112" s="128">
        <f t="shared" si="72"/>
        <v>0</v>
      </c>
      <c r="U112" s="128">
        <f t="shared" si="73"/>
        <v>0</v>
      </c>
      <c r="V112" s="128">
        <f t="shared" si="74"/>
        <v>5</v>
      </c>
      <c r="W112" s="128">
        <f t="shared" si="75"/>
        <v>5.6</v>
      </c>
      <c r="X112" s="128">
        <f t="shared" si="76"/>
        <v>5.3</v>
      </c>
      <c r="Y112" s="128">
        <f t="shared" si="77"/>
        <v>0.79499999999999993</v>
      </c>
      <c r="Z112" s="129">
        <f t="shared" si="78"/>
        <v>0</v>
      </c>
      <c r="AA112" s="128">
        <f t="shared" si="79"/>
        <v>0</v>
      </c>
      <c r="AB112" s="130">
        <f t="shared" si="80"/>
        <v>0</v>
      </c>
      <c r="AC112" s="131">
        <f t="shared" si="81"/>
        <v>0</v>
      </c>
    </row>
    <row r="113" spans="1:29" hidden="1">
      <c r="A113" s="122">
        <f t="shared" si="60"/>
        <v>840</v>
      </c>
      <c r="B113" s="123">
        <v>0</v>
      </c>
      <c r="C113" s="113"/>
      <c r="D113" s="113"/>
      <c r="E113" s="124">
        <f t="shared" si="61"/>
        <v>0</v>
      </c>
      <c r="F113" s="124">
        <f t="shared" si="62"/>
        <v>0</v>
      </c>
      <c r="G113" s="125">
        <f t="shared" ref="G113:G144" si="82">G112</f>
        <v>5</v>
      </c>
      <c r="H113" s="125">
        <f t="shared" ref="H113:H144" si="83">H112</f>
        <v>0</v>
      </c>
      <c r="I113" s="126">
        <f t="shared" si="63"/>
        <v>5</v>
      </c>
      <c r="J113" s="116">
        <f t="shared" si="64"/>
        <v>6.4</v>
      </c>
      <c r="K113" s="117">
        <f t="shared" si="65"/>
        <v>6.4</v>
      </c>
      <c r="L113" s="116">
        <f t="shared" si="66"/>
        <v>6.4</v>
      </c>
      <c r="M113" s="116">
        <f t="shared" si="67"/>
        <v>0</v>
      </c>
      <c r="N113" s="126">
        <f t="shared" si="68"/>
        <v>5.6</v>
      </c>
      <c r="O113" s="116">
        <f t="shared" si="69"/>
        <v>6.4</v>
      </c>
      <c r="P113" s="126">
        <f t="shared" si="70"/>
        <v>6</v>
      </c>
      <c r="Q113" s="126">
        <f t="shared" si="71"/>
        <v>1.2000000000000002</v>
      </c>
      <c r="R113" s="127">
        <f>(2*ปร.4_1!$W$12)*B113</f>
        <v>0</v>
      </c>
      <c r="S113" s="127">
        <f>ปร.4_1!$Z$13*Soil!B113</f>
        <v>0</v>
      </c>
      <c r="T113" s="128">
        <f t="shared" si="72"/>
        <v>0</v>
      </c>
      <c r="U113" s="128">
        <f t="shared" si="73"/>
        <v>0</v>
      </c>
      <c r="V113" s="128">
        <f t="shared" si="74"/>
        <v>5</v>
      </c>
      <c r="W113" s="128">
        <f t="shared" si="75"/>
        <v>5.6</v>
      </c>
      <c r="X113" s="128">
        <f t="shared" si="76"/>
        <v>5.3</v>
      </c>
      <c r="Y113" s="128">
        <f t="shared" si="77"/>
        <v>0.79499999999999993</v>
      </c>
      <c r="Z113" s="129">
        <f t="shared" si="78"/>
        <v>0</v>
      </c>
      <c r="AA113" s="128">
        <f t="shared" si="79"/>
        <v>0</v>
      </c>
      <c r="AB113" s="130">
        <f t="shared" si="80"/>
        <v>0</v>
      </c>
      <c r="AC113" s="131">
        <f t="shared" si="81"/>
        <v>0</v>
      </c>
    </row>
    <row r="114" spans="1:29" hidden="1">
      <c r="A114" s="122">
        <f t="shared" si="60"/>
        <v>840</v>
      </c>
      <c r="B114" s="123">
        <v>0</v>
      </c>
      <c r="C114" s="113"/>
      <c r="D114" s="113"/>
      <c r="E114" s="124">
        <f t="shared" si="61"/>
        <v>0</v>
      </c>
      <c r="F114" s="124">
        <f t="shared" si="62"/>
        <v>0</v>
      </c>
      <c r="G114" s="125">
        <f t="shared" si="82"/>
        <v>5</v>
      </c>
      <c r="H114" s="125">
        <f t="shared" si="83"/>
        <v>0</v>
      </c>
      <c r="I114" s="126">
        <f t="shared" si="63"/>
        <v>5</v>
      </c>
      <c r="J114" s="116">
        <f t="shared" si="64"/>
        <v>6.4</v>
      </c>
      <c r="K114" s="117">
        <f t="shared" si="65"/>
        <v>6.4</v>
      </c>
      <c r="L114" s="116">
        <f t="shared" si="66"/>
        <v>6.4</v>
      </c>
      <c r="M114" s="116">
        <f t="shared" si="67"/>
        <v>0</v>
      </c>
      <c r="N114" s="126">
        <f t="shared" si="68"/>
        <v>5.6</v>
      </c>
      <c r="O114" s="116">
        <f t="shared" si="69"/>
        <v>6.4</v>
      </c>
      <c r="P114" s="126">
        <f t="shared" si="70"/>
        <v>6</v>
      </c>
      <c r="Q114" s="126">
        <f t="shared" si="71"/>
        <v>1.2000000000000002</v>
      </c>
      <c r="R114" s="127">
        <f>(2*ปร.4_1!$W$12)*B114</f>
        <v>0</v>
      </c>
      <c r="S114" s="127">
        <f>ปร.4_1!$Z$13*Soil!B114</f>
        <v>0</v>
      </c>
      <c r="T114" s="128">
        <f t="shared" si="72"/>
        <v>0</v>
      </c>
      <c r="U114" s="128">
        <f t="shared" si="73"/>
        <v>0</v>
      </c>
      <c r="V114" s="128">
        <f t="shared" si="74"/>
        <v>5</v>
      </c>
      <c r="W114" s="128">
        <f t="shared" si="75"/>
        <v>5.6</v>
      </c>
      <c r="X114" s="128">
        <f t="shared" si="76"/>
        <v>5.3</v>
      </c>
      <c r="Y114" s="128">
        <f t="shared" si="77"/>
        <v>0.79499999999999993</v>
      </c>
      <c r="Z114" s="129">
        <f t="shared" si="78"/>
        <v>0</v>
      </c>
      <c r="AA114" s="128">
        <f t="shared" si="79"/>
        <v>0</v>
      </c>
      <c r="AB114" s="130">
        <f t="shared" si="80"/>
        <v>0</v>
      </c>
      <c r="AC114" s="131">
        <f t="shared" si="81"/>
        <v>0</v>
      </c>
    </row>
    <row r="115" spans="1:29" hidden="1">
      <c r="A115" s="122">
        <f t="shared" si="60"/>
        <v>840</v>
      </c>
      <c r="B115" s="123">
        <v>0</v>
      </c>
      <c r="C115" s="113"/>
      <c r="D115" s="113"/>
      <c r="E115" s="124">
        <f t="shared" si="61"/>
        <v>0</v>
      </c>
      <c r="F115" s="124">
        <f t="shared" si="62"/>
        <v>0</v>
      </c>
      <c r="G115" s="125">
        <f t="shared" si="82"/>
        <v>5</v>
      </c>
      <c r="H115" s="125">
        <f t="shared" si="83"/>
        <v>0</v>
      </c>
      <c r="I115" s="126">
        <f t="shared" si="63"/>
        <v>5</v>
      </c>
      <c r="J115" s="116">
        <f t="shared" si="64"/>
        <v>6.4</v>
      </c>
      <c r="K115" s="117">
        <f t="shared" si="65"/>
        <v>6.4</v>
      </c>
      <c r="L115" s="116">
        <f t="shared" si="66"/>
        <v>6.4</v>
      </c>
      <c r="M115" s="116">
        <f t="shared" si="67"/>
        <v>0</v>
      </c>
      <c r="N115" s="126">
        <f t="shared" si="68"/>
        <v>5.6</v>
      </c>
      <c r="O115" s="116">
        <f t="shared" si="69"/>
        <v>6.4</v>
      </c>
      <c r="P115" s="126">
        <f t="shared" si="70"/>
        <v>6</v>
      </c>
      <c r="Q115" s="126">
        <f t="shared" si="71"/>
        <v>1.2000000000000002</v>
      </c>
      <c r="R115" s="127">
        <f>(2*ปร.4_1!$W$12)*B115</f>
        <v>0</v>
      </c>
      <c r="S115" s="127">
        <f>ปร.4_1!$Z$13*Soil!B115</f>
        <v>0</v>
      </c>
      <c r="T115" s="128">
        <f t="shared" si="72"/>
        <v>0</v>
      </c>
      <c r="U115" s="128">
        <f t="shared" si="73"/>
        <v>0</v>
      </c>
      <c r="V115" s="128">
        <f t="shared" si="74"/>
        <v>5</v>
      </c>
      <c r="W115" s="128">
        <f t="shared" si="75"/>
        <v>5.6</v>
      </c>
      <c r="X115" s="128">
        <f t="shared" si="76"/>
        <v>5.3</v>
      </c>
      <c r="Y115" s="128">
        <f t="shared" si="77"/>
        <v>0.79499999999999993</v>
      </c>
      <c r="Z115" s="129">
        <f t="shared" si="78"/>
        <v>0</v>
      </c>
      <c r="AA115" s="128">
        <f t="shared" si="79"/>
        <v>0</v>
      </c>
      <c r="AB115" s="130">
        <f t="shared" si="80"/>
        <v>0</v>
      </c>
      <c r="AC115" s="131">
        <f t="shared" si="81"/>
        <v>0</v>
      </c>
    </row>
    <row r="116" spans="1:29" hidden="1">
      <c r="A116" s="122">
        <f t="shared" si="60"/>
        <v>840</v>
      </c>
      <c r="B116" s="123">
        <v>0</v>
      </c>
      <c r="C116" s="113"/>
      <c r="D116" s="113"/>
      <c r="E116" s="124">
        <f t="shared" si="61"/>
        <v>0</v>
      </c>
      <c r="F116" s="124">
        <f t="shared" si="62"/>
        <v>0</v>
      </c>
      <c r="G116" s="125">
        <f t="shared" si="82"/>
        <v>5</v>
      </c>
      <c r="H116" s="125">
        <f t="shared" si="83"/>
        <v>0</v>
      </c>
      <c r="I116" s="126">
        <f t="shared" si="63"/>
        <v>5</v>
      </c>
      <c r="J116" s="116">
        <f t="shared" si="64"/>
        <v>6.4</v>
      </c>
      <c r="K116" s="117">
        <f t="shared" si="65"/>
        <v>6.4</v>
      </c>
      <c r="L116" s="116">
        <f t="shared" si="66"/>
        <v>6.4</v>
      </c>
      <c r="M116" s="116">
        <f t="shared" si="67"/>
        <v>0</v>
      </c>
      <c r="N116" s="126">
        <f t="shared" si="68"/>
        <v>5.6</v>
      </c>
      <c r="O116" s="116">
        <f t="shared" si="69"/>
        <v>6.4</v>
      </c>
      <c r="P116" s="126">
        <f t="shared" si="70"/>
        <v>6</v>
      </c>
      <c r="Q116" s="126">
        <f t="shared" si="71"/>
        <v>1.2000000000000002</v>
      </c>
      <c r="R116" s="127">
        <f>(2*ปร.4_1!$W$12)*B116</f>
        <v>0</v>
      </c>
      <c r="S116" s="127">
        <f>ปร.4_1!$Z$13*Soil!B116</f>
        <v>0</v>
      </c>
      <c r="T116" s="128">
        <f t="shared" si="72"/>
        <v>0</v>
      </c>
      <c r="U116" s="128">
        <f t="shared" si="73"/>
        <v>0</v>
      </c>
      <c r="V116" s="128">
        <f t="shared" si="74"/>
        <v>5</v>
      </c>
      <c r="W116" s="128">
        <f t="shared" si="75"/>
        <v>5.6</v>
      </c>
      <c r="X116" s="128">
        <f t="shared" si="76"/>
        <v>5.3</v>
      </c>
      <c r="Y116" s="128">
        <f t="shared" si="77"/>
        <v>0.79499999999999993</v>
      </c>
      <c r="Z116" s="129">
        <f t="shared" si="78"/>
        <v>0</v>
      </c>
      <c r="AA116" s="128">
        <f t="shared" si="79"/>
        <v>0</v>
      </c>
      <c r="AB116" s="130">
        <f t="shared" si="80"/>
        <v>0</v>
      </c>
      <c r="AC116" s="131">
        <f t="shared" si="81"/>
        <v>0</v>
      </c>
    </row>
    <row r="117" spans="1:29" hidden="1">
      <c r="A117" s="122">
        <f t="shared" si="60"/>
        <v>840</v>
      </c>
      <c r="B117" s="123">
        <v>0</v>
      </c>
      <c r="C117" s="113"/>
      <c r="D117" s="113"/>
      <c r="E117" s="124">
        <f t="shared" si="61"/>
        <v>0</v>
      </c>
      <c r="F117" s="124">
        <f t="shared" si="62"/>
        <v>0</v>
      </c>
      <c r="G117" s="125">
        <f t="shared" si="82"/>
        <v>5</v>
      </c>
      <c r="H117" s="125">
        <f t="shared" si="83"/>
        <v>0</v>
      </c>
      <c r="I117" s="126">
        <f t="shared" si="63"/>
        <v>5</v>
      </c>
      <c r="J117" s="116">
        <f t="shared" si="64"/>
        <v>6.4</v>
      </c>
      <c r="K117" s="117">
        <f t="shared" si="65"/>
        <v>6.4</v>
      </c>
      <c r="L117" s="116">
        <f t="shared" si="66"/>
        <v>6.4</v>
      </c>
      <c r="M117" s="116">
        <f t="shared" si="67"/>
        <v>0</v>
      </c>
      <c r="N117" s="126">
        <f t="shared" si="68"/>
        <v>5.6</v>
      </c>
      <c r="O117" s="116">
        <f t="shared" si="69"/>
        <v>6.4</v>
      </c>
      <c r="P117" s="126">
        <f t="shared" si="70"/>
        <v>6</v>
      </c>
      <c r="Q117" s="126">
        <f t="shared" si="71"/>
        <v>1.2000000000000002</v>
      </c>
      <c r="R117" s="127">
        <f>(2*ปร.4_1!$W$12)*B117</f>
        <v>0</v>
      </c>
      <c r="S117" s="127">
        <f>ปร.4_1!$Z$13*Soil!B117</f>
        <v>0</v>
      </c>
      <c r="T117" s="128">
        <f t="shared" si="72"/>
        <v>0</v>
      </c>
      <c r="U117" s="128">
        <f t="shared" si="73"/>
        <v>0</v>
      </c>
      <c r="V117" s="128">
        <f t="shared" si="74"/>
        <v>5</v>
      </c>
      <c r="W117" s="128">
        <f t="shared" si="75"/>
        <v>5.6</v>
      </c>
      <c r="X117" s="128">
        <f t="shared" si="76"/>
        <v>5.3</v>
      </c>
      <c r="Y117" s="128">
        <f t="shared" si="77"/>
        <v>0.79499999999999993</v>
      </c>
      <c r="Z117" s="129">
        <f t="shared" si="78"/>
        <v>0</v>
      </c>
      <c r="AA117" s="128">
        <f t="shared" si="79"/>
        <v>0</v>
      </c>
      <c r="AB117" s="130">
        <f t="shared" si="80"/>
        <v>0</v>
      </c>
      <c r="AC117" s="131">
        <f t="shared" si="81"/>
        <v>0</v>
      </c>
    </row>
    <row r="118" spans="1:29" hidden="1">
      <c r="A118" s="122">
        <f t="shared" si="60"/>
        <v>840</v>
      </c>
      <c r="B118" s="123">
        <v>0</v>
      </c>
      <c r="C118" s="113"/>
      <c r="D118" s="113"/>
      <c r="E118" s="124">
        <f t="shared" si="61"/>
        <v>0</v>
      </c>
      <c r="F118" s="124">
        <f t="shared" si="62"/>
        <v>0</v>
      </c>
      <c r="G118" s="125">
        <f t="shared" si="82"/>
        <v>5</v>
      </c>
      <c r="H118" s="125">
        <f t="shared" si="83"/>
        <v>0</v>
      </c>
      <c r="I118" s="126">
        <f t="shared" si="63"/>
        <v>5</v>
      </c>
      <c r="J118" s="116">
        <f t="shared" si="64"/>
        <v>6.4</v>
      </c>
      <c r="K118" s="117">
        <f t="shared" si="65"/>
        <v>6.4</v>
      </c>
      <c r="L118" s="116">
        <f t="shared" si="66"/>
        <v>6.4</v>
      </c>
      <c r="M118" s="116">
        <f t="shared" si="67"/>
        <v>0</v>
      </c>
      <c r="N118" s="126">
        <f t="shared" si="68"/>
        <v>5.6</v>
      </c>
      <c r="O118" s="116">
        <f t="shared" si="69"/>
        <v>6.4</v>
      </c>
      <c r="P118" s="126">
        <f t="shared" si="70"/>
        <v>6</v>
      </c>
      <c r="Q118" s="126">
        <f t="shared" si="71"/>
        <v>1.2000000000000002</v>
      </c>
      <c r="R118" s="127">
        <f>(2*ปร.4_1!$W$12)*B118</f>
        <v>0</v>
      </c>
      <c r="S118" s="127">
        <f>ปร.4_1!$Z$13*Soil!B118</f>
        <v>0</v>
      </c>
      <c r="T118" s="128">
        <f t="shared" si="72"/>
        <v>0</v>
      </c>
      <c r="U118" s="128">
        <f t="shared" si="73"/>
        <v>0</v>
      </c>
      <c r="V118" s="128">
        <f t="shared" si="74"/>
        <v>5</v>
      </c>
      <c r="W118" s="128">
        <f t="shared" si="75"/>
        <v>5.6</v>
      </c>
      <c r="X118" s="128">
        <f t="shared" si="76"/>
        <v>5.3</v>
      </c>
      <c r="Y118" s="128">
        <f t="shared" si="77"/>
        <v>0.79499999999999993</v>
      </c>
      <c r="Z118" s="129">
        <f t="shared" si="78"/>
        <v>0</v>
      </c>
      <c r="AA118" s="128">
        <f t="shared" si="79"/>
        <v>0</v>
      </c>
      <c r="AB118" s="130">
        <f t="shared" si="80"/>
        <v>0</v>
      </c>
      <c r="AC118" s="131">
        <f t="shared" si="81"/>
        <v>0</v>
      </c>
    </row>
    <row r="119" spans="1:29" hidden="1">
      <c r="A119" s="122">
        <f t="shared" si="60"/>
        <v>840</v>
      </c>
      <c r="B119" s="123">
        <v>0</v>
      </c>
      <c r="C119" s="113"/>
      <c r="D119" s="113"/>
      <c r="E119" s="124">
        <f t="shared" si="61"/>
        <v>0</v>
      </c>
      <c r="F119" s="124">
        <f t="shared" si="62"/>
        <v>0</v>
      </c>
      <c r="G119" s="125">
        <f t="shared" si="82"/>
        <v>5</v>
      </c>
      <c r="H119" s="125">
        <f t="shared" si="83"/>
        <v>0</v>
      </c>
      <c r="I119" s="126">
        <f t="shared" si="63"/>
        <v>5</v>
      </c>
      <c r="J119" s="116">
        <f t="shared" si="64"/>
        <v>6.4</v>
      </c>
      <c r="K119" s="117">
        <f t="shared" si="65"/>
        <v>6.4</v>
      </c>
      <c r="L119" s="116">
        <f t="shared" si="66"/>
        <v>6.4</v>
      </c>
      <c r="M119" s="116">
        <f t="shared" si="67"/>
        <v>0</v>
      </c>
      <c r="N119" s="126">
        <f t="shared" si="68"/>
        <v>5.6</v>
      </c>
      <c r="O119" s="116">
        <f t="shared" si="69"/>
        <v>6.4</v>
      </c>
      <c r="P119" s="126">
        <f t="shared" si="70"/>
        <v>6</v>
      </c>
      <c r="Q119" s="126">
        <f t="shared" si="71"/>
        <v>1.2000000000000002</v>
      </c>
      <c r="R119" s="127">
        <f>(2*ปร.4_1!$W$12)*B119</f>
        <v>0</v>
      </c>
      <c r="S119" s="127">
        <f>ปร.4_1!$Z$13*Soil!B119</f>
        <v>0</v>
      </c>
      <c r="T119" s="128">
        <f t="shared" si="72"/>
        <v>0</v>
      </c>
      <c r="U119" s="128">
        <f t="shared" si="73"/>
        <v>0</v>
      </c>
      <c r="V119" s="128">
        <f t="shared" si="74"/>
        <v>5</v>
      </c>
      <c r="W119" s="128">
        <f t="shared" si="75"/>
        <v>5.6</v>
      </c>
      <c r="X119" s="128">
        <f t="shared" si="76"/>
        <v>5.3</v>
      </c>
      <c r="Y119" s="128">
        <f t="shared" si="77"/>
        <v>0.79499999999999993</v>
      </c>
      <c r="Z119" s="129">
        <f t="shared" si="78"/>
        <v>0</v>
      </c>
      <c r="AA119" s="128">
        <f t="shared" si="79"/>
        <v>0</v>
      </c>
      <c r="AB119" s="130">
        <f t="shared" si="80"/>
        <v>0</v>
      </c>
      <c r="AC119" s="131">
        <f t="shared" si="81"/>
        <v>0</v>
      </c>
    </row>
    <row r="120" spans="1:29" hidden="1">
      <c r="A120" s="122">
        <f t="shared" si="60"/>
        <v>840</v>
      </c>
      <c r="B120" s="123">
        <v>0</v>
      </c>
      <c r="C120" s="113"/>
      <c r="D120" s="113"/>
      <c r="E120" s="124">
        <f t="shared" si="61"/>
        <v>0</v>
      </c>
      <c r="F120" s="124">
        <f t="shared" si="62"/>
        <v>0</v>
      </c>
      <c r="G120" s="125">
        <f t="shared" si="82"/>
        <v>5</v>
      </c>
      <c r="H120" s="125">
        <f t="shared" si="83"/>
        <v>0</v>
      </c>
      <c r="I120" s="126">
        <f t="shared" si="63"/>
        <v>5</v>
      </c>
      <c r="J120" s="116">
        <f t="shared" si="64"/>
        <v>6.4</v>
      </c>
      <c r="K120" s="117">
        <f t="shared" si="65"/>
        <v>6.4</v>
      </c>
      <c r="L120" s="116">
        <f t="shared" si="66"/>
        <v>6.4</v>
      </c>
      <c r="M120" s="116">
        <f t="shared" si="67"/>
        <v>0</v>
      </c>
      <c r="N120" s="126">
        <f t="shared" si="68"/>
        <v>5.6</v>
      </c>
      <c r="O120" s="116">
        <f t="shared" si="69"/>
        <v>6.4</v>
      </c>
      <c r="P120" s="126">
        <f t="shared" si="70"/>
        <v>6</v>
      </c>
      <c r="Q120" s="126">
        <f t="shared" si="71"/>
        <v>1.2000000000000002</v>
      </c>
      <c r="R120" s="127">
        <f>(2*ปร.4_1!$W$12)*B120</f>
        <v>0</v>
      </c>
      <c r="S120" s="127">
        <f>ปร.4_1!$Z$13*Soil!B120</f>
        <v>0</v>
      </c>
      <c r="T120" s="128">
        <f t="shared" si="72"/>
        <v>0</v>
      </c>
      <c r="U120" s="128">
        <f t="shared" si="73"/>
        <v>0</v>
      </c>
      <c r="V120" s="128">
        <f t="shared" si="74"/>
        <v>5</v>
      </c>
      <c r="W120" s="128">
        <f t="shared" si="75"/>
        <v>5.6</v>
      </c>
      <c r="X120" s="128">
        <f t="shared" si="76"/>
        <v>5.3</v>
      </c>
      <c r="Y120" s="128">
        <f t="shared" si="77"/>
        <v>0.79499999999999993</v>
      </c>
      <c r="Z120" s="129">
        <f t="shared" si="78"/>
        <v>0</v>
      </c>
      <c r="AA120" s="128">
        <f t="shared" si="79"/>
        <v>0</v>
      </c>
      <c r="AB120" s="130">
        <f t="shared" si="80"/>
        <v>0</v>
      </c>
      <c r="AC120" s="131">
        <f t="shared" si="81"/>
        <v>0</v>
      </c>
    </row>
    <row r="121" spans="1:29" hidden="1">
      <c r="A121" s="122">
        <f t="shared" si="60"/>
        <v>840</v>
      </c>
      <c r="B121" s="123">
        <v>0</v>
      </c>
      <c r="C121" s="113"/>
      <c r="D121" s="113"/>
      <c r="E121" s="124">
        <f t="shared" si="61"/>
        <v>0</v>
      </c>
      <c r="F121" s="124">
        <f t="shared" si="62"/>
        <v>0</v>
      </c>
      <c r="G121" s="125">
        <f t="shared" si="82"/>
        <v>5</v>
      </c>
      <c r="H121" s="125">
        <f t="shared" si="83"/>
        <v>0</v>
      </c>
      <c r="I121" s="126">
        <f t="shared" si="63"/>
        <v>5</v>
      </c>
      <c r="J121" s="116">
        <f t="shared" si="64"/>
        <v>6.4</v>
      </c>
      <c r="K121" s="117">
        <f t="shared" si="65"/>
        <v>6.4</v>
      </c>
      <c r="L121" s="116">
        <f t="shared" si="66"/>
        <v>6.4</v>
      </c>
      <c r="M121" s="116">
        <f t="shared" si="67"/>
        <v>0</v>
      </c>
      <c r="N121" s="126">
        <f t="shared" si="68"/>
        <v>5.6</v>
      </c>
      <c r="O121" s="116">
        <f t="shared" si="69"/>
        <v>6.4</v>
      </c>
      <c r="P121" s="126">
        <f t="shared" si="70"/>
        <v>6</v>
      </c>
      <c r="Q121" s="126">
        <f t="shared" si="71"/>
        <v>1.2000000000000002</v>
      </c>
      <c r="R121" s="127">
        <f>(2*ปร.4_1!$W$12)*B121</f>
        <v>0</v>
      </c>
      <c r="S121" s="127">
        <f>ปร.4_1!$Z$13*Soil!B121</f>
        <v>0</v>
      </c>
      <c r="T121" s="128">
        <f t="shared" si="72"/>
        <v>0</v>
      </c>
      <c r="U121" s="128">
        <f t="shared" si="73"/>
        <v>0</v>
      </c>
      <c r="V121" s="128">
        <f t="shared" si="74"/>
        <v>5</v>
      </c>
      <c r="W121" s="128">
        <f t="shared" si="75"/>
        <v>5.6</v>
      </c>
      <c r="X121" s="128">
        <f t="shared" si="76"/>
        <v>5.3</v>
      </c>
      <c r="Y121" s="128">
        <f t="shared" si="77"/>
        <v>0.79499999999999993</v>
      </c>
      <c r="Z121" s="129">
        <f t="shared" si="78"/>
        <v>0</v>
      </c>
      <c r="AA121" s="128">
        <f t="shared" si="79"/>
        <v>0</v>
      </c>
      <c r="AB121" s="130">
        <f t="shared" si="80"/>
        <v>0</v>
      </c>
      <c r="AC121" s="131">
        <f t="shared" si="81"/>
        <v>0</v>
      </c>
    </row>
    <row r="122" spans="1:29" hidden="1">
      <c r="A122" s="122">
        <f t="shared" si="60"/>
        <v>840</v>
      </c>
      <c r="B122" s="123">
        <v>0</v>
      </c>
      <c r="C122" s="113"/>
      <c r="D122" s="113"/>
      <c r="E122" s="124">
        <f t="shared" si="61"/>
        <v>0</v>
      </c>
      <c r="F122" s="124">
        <f t="shared" si="62"/>
        <v>0</v>
      </c>
      <c r="G122" s="125">
        <f t="shared" si="82"/>
        <v>5</v>
      </c>
      <c r="H122" s="125">
        <f t="shared" si="83"/>
        <v>0</v>
      </c>
      <c r="I122" s="126">
        <f t="shared" si="63"/>
        <v>5</v>
      </c>
      <c r="J122" s="116">
        <f t="shared" si="64"/>
        <v>6.4</v>
      </c>
      <c r="K122" s="117">
        <f t="shared" si="65"/>
        <v>6.4</v>
      </c>
      <c r="L122" s="116">
        <f t="shared" si="66"/>
        <v>6.4</v>
      </c>
      <c r="M122" s="116">
        <f t="shared" si="67"/>
        <v>0</v>
      </c>
      <c r="N122" s="126">
        <f t="shared" si="68"/>
        <v>5.6</v>
      </c>
      <c r="O122" s="116">
        <f t="shared" si="69"/>
        <v>6.4</v>
      </c>
      <c r="P122" s="126">
        <f t="shared" si="70"/>
        <v>6</v>
      </c>
      <c r="Q122" s="126">
        <f t="shared" si="71"/>
        <v>1.2000000000000002</v>
      </c>
      <c r="R122" s="127">
        <f>(2*ปร.4_1!$W$12)*B122</f>
        <v>0</v>
      </c>
      <c r="S122" s="127">
        <f>ปร.4_1!$Z$13*Soil!B122</f>
        <v>0</v>
      </c>
      <c r="T122" s="128">
        <f t="shared" si="72"/>
        <v>0</v>
      </c>
      <c r="U122" s="128">
        <f t="shared" si="73"/>
        <v>0</v>
      </c>
      <c r="V122" s="128">
        <f t="shared" si="74"/>
        <v>5</v>
      </c>
      <c r="W122" s="128">
        <f t="shared" si="75"/>
        <v>5.6</v>
      </c>
      <c r="X122" s="128">
        <f t="shared" si="76"/>
        <v>5.3</v>
      </c>
      <c r="Y122" s="128">
        <f t="shared" si="77"/>
        <v>0.79499999999999993</v>
      </c>
      <c r="Z122" s="129">
        <f t="shared" si="78"/>
        <v>0</v>
      </c>
      <c r="AA122" s="128">
        <f t="shared" si="79"/>
        <v>0</v>
      </c>
      <c r="AB122" s="130">
        <f t="shared" si="80"/>
        <v>0</v>
      </c>
      <c r="AC122" s="131">
        <f t="shared" si="81"/>
        <v>0</v>
      </c>
    </row>
    <row r="123" spans="1:29" hidden="1">
      <c r="A123" s="122">
        <f t="shared" si="60"/>
        <v>840</v>
      </c>
      <c r="B123" s="123">
        <v>0</v>
      </c>
      <c r="C123" s="113"/>
      <c r="D123" s="113"/>
      <c r="E123" s="124">
        <f t="shared" si="61"/>
        <v>0</v>
      </c>
      <c r="F123" s="124">
        <f t="shared" si="62"/>
        <v>0</v>
      </c>
      <c r="G123" s="125">
        <f t="shared" si="82"/>
        <v>5</v>
      </c>
      <c r="H123" s="125">
        <f t="shared" si="83"/>
        <v>0</v>
      </c>
      <c r="I123" s="126">
        <f t="shared" si="63"/>
        <v>5</v>
      </c>
      <c r="J123" s="116">
        <f t="shared" si="64"/>
        <v>6.4</v>
      </c>
      <c r="K123" s="117">
        <f t="shared" si="65"/>
        <v>6.4</v>
      </c>
      <c r="L123" s="116">
        <f t="shared" si="66"/>
        <v>6.4</v>
      </c>
      <c r="M123" s="116">
        <f t="shared" si="67"/>
        <v>0</v>
      </c>
      <c r="N123" s="126">
        <f t="shared" si="68"/>
        <v>5.6</v>
      </c>
      <c r="O123" s="116">
        <f t="shared" si="69"/>
        <v>6.4</v>
      </c>
      <c r="P123" s="126">
        <f t="shared" si="70"/>
        <v>6</v>
      </c>
      <c r="Q123" s="126">
        <f t="shared" si="71"/>
        <v>1.2000000000000002</v>
      </c>
      <c r="R123" s="127">
        <f>(2*ปร.4_1!$W$12)*B123</f>
        <v>0</v>
      </c>
      <c r="S123" s="127">
        <f>ปร.4_1!$Z$13*Soil!B123</f>
        <v>0</v>
      </c>
      <c r="T123" s="128">
        <f t="shared" si="72"/>
        <v>0</v>
      </c>
      <c r="U123" s="128">
        <f t="shared" si="73"/>
        <v>0</v>
      </c>
      <c r="V123" s="128">
        <f t="shared" si="74"/>
        <v>5</v>
      </c>
      <c r="W123" s="128">
        <f t="shared" si="75"/>
        <v>5.6</v>
      </c>
      <c r="X123" s="128">
        <f t="shared" si="76"/>
        <v>5.3</v>
      </c>
      <c r="Y123" s="128">
        <f t="shared" si="77"/>
        <v>0.79499999999999993</v>
      </c>
      <c r="Z123" s="129">
        <f t="shared" si="78"/>
        <v>0</v>
      </c>
      <c r="AA123" s="128">
        <f t="shared" si="79"/>
        <v>0</v>
      </c>
      <c r="AB123" s="130">
        <f t="shared" si="80"/>
        <v>0</v>
      </c>
      <c r="AC123" s="131">
        <f t="shared" si="81"/>
        <v>0</v>
      </c>
    </row>
    <row r="124" spans="1:29" hidden="1">
      <c r="A124" s="122">
        <f t="shared" si="60"/>
        <v>840</v>
      </c>
      <c r="B124" s="123">
        <v>0</v>
      </c>
      <c r="C124" s="113"/>
      <c r="D124" s="113"/>
      <c r="E124" s="124">
        <f t="shared" si="61"/>
        <v>0</v>
      </c>
      <c r="F124" s="124">
        <f t="shared" si="62"/>
        <v>0</v>
      </c>
      <c r="G124" s="125">
        <f t="shared" si="82"/>
        <v>5</v>
      </c>
      <c r="H124" s="125">
        <f t="shared" si="83"/>
        <v>0</v>
      </c>
      <c r="I124" s="126">
        <f t="shared" si="63"/>
        <v>5</v>
      </c>
      <c r="J124" s="116">
        <f t="shared" si="64"/>
        <v>6.4</v>
      </c>
      <c r="K124" s="117">
        <f t="shared" si="65"/>
        <v>6.4</v>
      </c>
      <c r="L124" s="116">
        <f t="shared" si="66"/>
        <v>6.4</v>
      </c>
      <c r="M124" s="116">
        <f t="shared" si="67"/>
        <v>0</v>
      </c>
      <c r="N124" s="126">
        <f t="shared" si="68"/>
        <v>5.6</v>
      </c>
      <c r="O124" s="116">
        <f t="shared" si="69"/>
        <v>6.4</v>
      </c>
      <c r="P124" s="126">
        <f t="shared" si="70"/>
        <v>6</v>
      </c>
      <c r="Q124" s="126">
        <f t="shared" si="71"/>
        <v>1.2000000000000002</v>
      </c>
      <c r="R124" s="127">
        <f>(2*ปร.4_1!$W$12)*B124</f>
        <v>0</v>
      </c>
      <c r="S124" s="127">
        <f>ปร.4_1!$Z$13*Soil!B124</f>
        <v>0</v>
      </c>
      <c r="T124" s="128">
        <f t="shared" si="72"/>
        <v>0</v>
      </c>
      <c r="U124" s="128">
        <f t="shared" si="73"/>
        <v>0</v>
      </c>
      <c r="V124" s="128">
        <f t="shared" si="74"/>
        <v>5</v>
      </c>
      <c r="W124" s="128">
        <f t="shared" si="75"/>
        <v>5.6</v>
      </c>
      <c r="X124" s="128">
        <f t="shared" si="76"/>
        <v>5.3</v>
      </c>
      <c r="Y124" s="128">
        <f t="shared" si="77"/>
        <v>0.79499999999999993</v>
      </c>
      <c r="Z124" s="129">
        <f t="shared" si="78"/>
        <v>0</v>
      </c>
      <c r="AA124" s="128">
        <f t="shared" si="79"/>
        <v>0</v>
      </c>
      <c r="AB124" s="130">
        <f t="shared" si="80"/>
        <v>0</v>
      </c>
      <c r="AC124" s="131">
        <f t="shared" si="81"/>
        <v>0</v>
      </c>
    </row>
    <row r="125" spans="1:29" hidden="1">
      <c r="A125" s="122">
        <f t="shared" si="60"/>
        <v>840</v>
      </c>
      <c r="B125" s="123">
        <v>0</v>
      </c>
      <c r="C125" s="113"/>
      <c r="D125" s="113"/>
      <c r="E125" s="124">
        <f t="shared" si="61"/>
        <v>0</v>
      </c>
      <c r="F125" s="124">
        <f t="shared" si="62"/>
        <v>0</v>
      </c>
      <c r="G125" s="125">
        <f t="shared" si="82"/>
        <v>5</v>
      </c>
      <c r="H125" s="125">
        <f t="shared" si="83"/>
        <v>0</v>
      </c>
      <c r="I125" s="126">
        <f t="shared" si="63"/>
        <v>5</v>
      </c>
      <c r="J125" s="116">
        <f t="shared" si="64"/>
        <v>6.4</v>
      </c>
      <c r="K125" s="117">
        <f t="shared" si="65"/>
        <v>6.4</v>
      </c>
      <c r="L125" s="116">
        <f t="shared" si="66"/>
        <v>6.4</v>
      </c>
      <c r="M125" s="116">
        <f t="shared" si="67"/>
        <v>0</v>
      </c>
      <c r="N125" s="126">
        <f t="shared" si="68"/>
        <v>5.6</v>
      </c>
      <c r="O125" s="116">
        <f t="shared" si="69"/>
        <v>6.4</v>
      </c>
      <c r="P125" s="126">
        <f t="shared" si="70"/>
        <v>6</v>
      </c>
      <c r="Q125" s="126">
        <f t="shared" si="71"/>
        <v>1.2000000000000002</v>
      </c>
      <c r="R125" s="127">
        <f>(2*ปร.4_1!$W$12)*B125</f>
        <v>0</v>
      </c>
      <c r="S125" s="127">
        <f>ปร.4_1!$Z$13*Soil!B125</f>
        <v>0</v>
      </c>
      <c r="T125" s="128">
        <f t="shared" si="72"/>
        <v>0</v>
      </c>
      <c r="U125" s="128">
        <f t="shared" si="73"/>
        <v>0</v>
      </c>
      <c r="V125" s="128">
        <f t="shared" si="74"/>
        <v>5</v>
      </c>
      <c r="W125" s="128">
        <f t="shared" si="75"/>
        <v>5.6</v>
      </c>
      <c r="X125" s="128">
        <f t="shared" si="76"/>
        <v>5.3</v>
      </c>
      <c r="Y125" s="128">
        <f t="shared" si="77"/>
        <v>0.79499999999999993</v>
      </c>
      <c r="Z125" s="129">
        <f t="shared" si="78"/>
        <v>0</v>
      </c>
      <c r="AA125" s="128">
        <f t="shared" si="79"/>
        <v>0</v>
      </c>
      <c r="AB125" s="130">
        <f t="shared" si="80"/>
        <v>0</v>
      </c>
      <c r="AC125" s="131">
        <f t="shared" si="81"/>
        <v>0</v>
      </c>
    </row>
    <row r="126" spans="1:29" hidden="1">
      <c r="A126" s="122">
        <f t="shared" si="60"/>
        <v>840</v>
      </c>
      <c r="B126" s="123">
        <v>0</v>
      </c>
      <c r="C126" s="113"/>
      <c r="D126" s="113"/>
      <c r="E126" s="124">
        <f t="shared" si="61"/>
        <v>0</v>
      </c>
      <c r="F126" s="124">
        <f t="shared" si="62"/>
        <v>0</v>
      </c>
      <c r="G126" s="125">
        <f t="shared" si="82"/>
        <v>5</v>
      </c>
      <c r="H126" s="125">
        <f t="shared" si="83"/>
        <v>0</v>
      </c>
      <c r="I126" s="126">
        <f t="shared" si="63"/>
        <v>5</v>
      </c>
      <c r="J126" s="116">
        <f t="shared" si="64"/>
        <v>6.4</v>
      </c>
      <c r="K126" s="117">
        <f t="shared" si="65"/>
        <v>6.4</v>
      </c>
      <c r="L126" s="116">
        <f t="shared" si="66"/>
        <v>6.4</v>
      </c>
      <c r="M126" s="116">
        <f t="shared" si="67"/>
        <v>0</v>
      </c>
      <c r="N126" s="126">
        <f t="shared" si="68"/>
        <v>5.6</v>
      </c>
      <c r="O126" s="116">
        <f t="shared" si="69"/>
        <v>6.4</v>
      </c>
      <c r="P126" s="126">
        <f t="shared" si="70"/>
        <v>6</v>
      </c>
      <c r="Q126" s="126">
        <f t="shared" si="71"/>
        <v>1.2000000000000002</v>
      </c>
      <c r="R126" s="127">
        <f>(2*ปร.4_1!$W$12)*B126</f>
        <v>0</v>
      </c>
      <c r="S126" s="127">
        <f>ปร.4_1!$Z$13*Soil!B126</f>
        <v>0</v>
      </c>
      <c r="T126" s="128">
        <f t="shared" si="72"/>
        <v>0</v>
      </c>
      <c r="U126" s="128">
        <f t="shared" si="73"/>
        <v>0</v>
      </c>
      <c r="V126" s="128">
        <f t="shared" si="74"/>
        <v>5</v>
      </c>
      <c r="W126" s="128">
        <f t="shared" si="75"/>
        <v>5.6</v>
      </c>
      <c r="X126" s="128">
        <f t="shared" si="76"/>
        <v>5.3</v>
      </c>
      <c r="Y126" s="128">
        <f t="shared" si="77"/>
        <v>0.79499999999999993</v>
      </c>
      <c r="Z126" s="129">
        <f t="shared" si="78"/>
        <v>0</v>
      </c>
      <c r="AA126" s="128">
        <f t="shared" si="79"/>
        <v>0</v>
      </c>
      <c r="AB126" s="130">
        <f t="shared" si="80"/>
        <v>0</v>
      </c>
      <c r="AC126" s="131">
        <f t="shared" si="81"/>
        <v>0</v>
      </c>
    </row>
    <row r="127" spans="1:29" hidden="1">
      <c r="A127" s="122">
        <f t="shared" si="60"/>
        <v>840</v>
      </c>
      <c r="B127" s="123">
        <v>0</v>
      </c>
      <c r="C127" s="113"/>
      <c r="D127" s="113"/>
      <c r="E127" s="124">
        <f t="shared" si="61"/>
        <v>0</v>
      </c>
      <c r="F127" s="124">
        <f t="shared" si="62"/>
        <v>0</v>
      </c>
      <c r="G127" s="125">
        <f t="shared" si="82"/>
        <v>5</v>
      </c>
      <c r="H127" s="125">
        <f t="shared" si="83"/>
        <v>0</v>
      </c>
      <c r="I127" s="126">
        <f t="shared" si="63"/>
        <v>5</v>
      </c>
      <c r="J127" s="116">
        <f t="shared" si="64"/>
        <v>6.4</v>
      </c>
      <c r="K127" s="117">
        <f t="shared" si="65"/>
        <v>6.4</v>
      </c>
      <c r="L127" s="116">
        <f t="shared" si="66"/>
        <v>6.4</v>
      </c>
      <c r="M127" s="116">
        <f t="shared" si="67"/>
        <v>0</v>
      </c>
      <c r="N127" s="126">
        <f t="shared" si="68"/>
        <v>5.6</v>
      </c>
      <c r="O127" s="116">
        <f t="shared" si="69"/>
        <v>6.4</v>
      </c>
      <c r="P127" s="126">
        <f t="shared" si="70"/>
        <v>6</v>
      </c>
      <c r="Q127" s="126">
        <f t="shared" si="71"/>
        <v>1.2000000000000002</v>
      </c>
      <c r="R127" s="127">
        <f>(2*ปร.4_1!$W$12)*B127</f>
        <v>0</v>
      </c>
      <c r="S127" s="127">
        <f>ปร.4_1!$Z$13*Soil!B127</f>
        <v>0</v>
      </c>
      <c r="T127" s="128">
        <f t="shared" si="72"/>
        <v>0</v>
      </c>
      <c r="U127" s="128">
        <f t="shared" si="73"/>
        <v>0</v>
      </c>
      <c r="V127" s="128">
        <f t="shared" si="74"/>
        <v>5</v>
      </c>
      <c r="W127" s="128">
        <f t="shared" si="75"/>
        <v>5.6</v>
      </c>
      <c r="X127" s="128">
        <f t="shared" si="76"/>
        <v>5.3</v>
      </c>
      <c r="Y127" s="128">
        <f t="shared" si="77"/>
        <v>0.79499999999999993</v>
      </c>
      <c r="Z127" s="129">
        <f t="shared" si="78"/>
        <v>0</v>
      </c>
      <c r="AA127" s="128">
        <f t="shared" si="79"/>
        <v>0</v>
      </c>
      <c r="AB127" s="130">
        <f t="shared" si="80"/>
        <v>0</v>
      </c>
      <c r="AC127" s="131">
        <f t="shared" si="81"/>
        <v>0</v>
      </c>
    </row>
    <row r="128" spans="1:29" hidden="1">
      <c r="A128" s="122">
        <f t="shared" si="60"/>
        <v>840</v>
      </c>
      <c r="B128" s="123">
        <v>0</v>
      </c>
      <c r="C128" s="113"/>
      <c r="D128" s="113"/>
      <c r="E128" s="124">
        <f t="shared" si="61"/>
        <v>0</v>
      </c>
      <c r="F128" s="124">
        <f t="shared" si="62"/>
        <v>0</v>
      </c>
      <c r="G128" s="125">
        <f t="shared" si="82"/>
        <v>5</v>
      </c>
      <c r="H128" s="125">
        <f t="shared" si="83"/>
        <v>0</v>
      </c>
      <c r="I128" s="126">
        <f t="shared" si="63"/>
        <v>5</v>
      </c>
      <c r="J128" s="116">
        <f t="shared" si="64"/>
        <v>6.4</v>
      </c>
      <c r="K128" s="117">
        <f t="shared" si="65"/>
        <v>6.4</v>
      </c>
      <c r="L128" s="116">
        <f t="shared" si="66"/>
        <v>6.4</v>
      </c>
      <c r="M128" s="116">
        <f t="shared" si="67"/>
        <v>0</v>
      </c>
      <c r="N128" s="126">
        <f t="shared" si="68"/>
        <v>5.6</v>
      </c>
      <c r="O128" s="116">
        <f t="shared" si="69"/>
        <v>6.4</v>
      </c>
      <c r="P128" s="126">
        <f t="shared" si="70"/>
        <v>6</v>
      </c>
      <c r="Q128" s="126">
        <f t="shared" si="71"/>
        <v>1.2000000000000002</v>
      </c>
      <c r="R128" s="127">
        <f>(2*ปร.4_1!$W$12)*B128</f>
        <v>0</v>
      </c>
      <c r="S128" s="127">
        <f>ปร.4_1!$Z$13*Soil!B128</f>
        <v>0</v>
      </c>
      <c r="T128" s="128">
        <f t="shared" si="72"/>
        <v>0</v>
      </c>
      <c r="U128" s="128">
        <f t="shared" si="73"/>
        <v>0</v>
      </c>
      <c r="V128" s="128">
        <f t="shared" si="74"/>
        <v>5</v>
      </c>
      <c r="W128" s="128">
        <f t="shared" si="75"/>
        <v>5.6</v>
      </c>
      <c r="X128" s="128">
        <f t="shared" si="76"/>
        <v>5.3</v>
      </c>
      <c r="Y128" s="128">
        <f t="shared" si="77"/>
        <v>0.79499999999999993</v>
      </c>
      <c r="Z128" s="129">
        <f t="shared" si="78"/>
        <v>0</v>
      </c>
      <c r="AA128" s="128">
        <f t="shared" si="79"/>
        <v>0</v>
      </c>
      <c r="AB128" s="130">
        <f t="shared" si="80"/>
        <v>0</v>
      </c>
      <c r="AC128" s="131">
        <f t="shared" si="81"/>
        <v>0</v>
      </c>
    </row>
    <row r="129" spans="1:29" hidden="1">
      <c r="A129" s="122">
        <f t="shared" si="60"/>
        <v>840</v>
      </c>
      <c r="B129" s="123">
        <v>0</v>
      </c>
      <c r="C129" s="113"/>
      <c r="D129" s="113"/>
      <c r="E129" s="124">
        <f t="shared" si="61"/>
        <v>0</v>
      </c>
      <c r="F129" s="124">
        <f t="shared" si="62"/>
        <v>0</v>
      </c>
      <c r="G129" s="125">
        <f t="shared" si="82"/>
        <v>5</v>
      </c>
      <c r="H129" s="125">
        <f t="shared" si="83"/>
        <v>0</v>
      </c>
      <c r="I129" s="126">
        <f t="shared" si="63"/>
        <v>5</v>
      </c>
      <c r="J129" s="116">
        <f t="shared" si="64"/>
        <v>6.4</v>
      </c>
      <c r="K129" s="117">
        <f t="shared" si="65"/>
        <v>6.4</v>
      </c>
      <c r="L129" s="116">
        <f t="shared" si="66"/>
        <v>6.4</v>
      </c>
      <c r="M129" s="116">
        <f t="shared" si="67"/>
        <v>0</v>
      </c>
      <c r="N129" s="126">
        <f t="shared" si="68"/>
        <v>5.6</v>
      </c>
      <c r="O129" s="116">
        <f t="shared" si="69"/>
        <v>6.4</v>
      </c>
      <c r="P129" s="126">
        <f t="shared" si="70"/>
        <v>6</v>
      </c>
      <c r="Q129" s="126">
        <f t="shared" si="71"/>
        <v>1.2000000000000002</v>
      </c>
      <c r="R129" s="127">
        <f>(2*ปร.4_1!$W$12)*B129</f>
        <v>0</v>
      </c>
      <c r="S129" s="127">
        <f>ปร.4_1!$Z$13*Soil!B129</f>
        <v>0</v>
      </c>
      <c r="T129" s="128">
        <f t="shared" si="72"/>
        <v>0</v>
      </c>
      <c r="U129" s="128">
        <f t="shared" si="73"/>
        <v>0</v>
      </c>
      <c r="V129" s="128">
        <f t="shared" si="74"/>
        <v>5</v>
      </c>
      <c r="W129" s="128">
        <f t="shared" si="75"/>
        <v>5.6</v>
      </c>
      <c r="X129" s="128">
        <f t="shared" si="76"/>
        <v>5.3</v>
      </c>
      <c r="Y129" s="128">
        <f t="shared" si="77"/>
        <v>0.79499999999999993</v>
      </c>
      <c r="Z129" s="129">
        <f t="shared" si="78"/>
        <v>0</v>
      </c>
      <c r="AA129" s="128">
        <f t="shared" si="79"/>
        <v>0</v>
      </c>
      <c r="AB129" s="130">
        <f t="shared" si="80"/>
        <v>0</v>
      </c>
      <c r="AC129" s="131">
        <f t="shared" si="81"/>
        <v>0</v>
      </c>
    </row>
    <row r="130" spans="1:29" hidden="1">
      <c r="A130" s="122">
        <f t="shared" si="60"/>
        <v>840</v>
      </c>
      <c r="B130" s="123">
        <v>0</v>
      </c>
      <c r="C130" s="113"/>
      <c r="D130" s="113"/>
      <c r="E130" s="124">
        <f t="shared" si="61"/>
        <v>0</v>
      </c>
      <c r="F130" s="124">
        <f t="shared" si="62"/>
        <v>0</v>
      </c>
      <c r="G130" s="125">
        <f t="shared" si="82"/>
        <v>5</v>
      </c>
      <c r="H130" s="125">
        <f t="shared" si="83"/>
        <v>0</v>
      </c>
      <c r="I130" s="126">
        <f t="shared" si="63"/>
        <v>5</v>
      </c>
      <c r="J130" s="116">
        <f t="shared" si="64"/>
        <v>6.4</v>
      </c>
      <c r="K130" s="117">
        <f t="shared" si="65"/>
        <v>6.4</v>
      </c>
      <c r="L130" s="116">
        <f t="shared" si="66"/>
        <v>6.4</v>
      </c>
      <c r="M130" s="116">
        <f t="shared" si="67"/>
        <v>0</v>
      </c>
      <c r="N130" s="126">
        <f t="shared" si="68"/>
        <v>5.6</v>
      </c>
      <c r="O130" s="116">
        <f t="shared" si="69"/>
        <v>6.4</v>
      </c>
      <c r="P130" s="126">
        <f t="shared" si="70"/>
        <v>6</v>
      </c>
      <c r="Q130" s="126">
        <f t="shared" si="71"/>
        <v>1.2000000000000002</v>
      </c>
      <c r="R130" s="127">
        <f>(2*ปร.4_1!$W$12)*B130</f>
        <v>0</v>
      </c>
      <c r="S130" s="127">
        <f>ปร.4_1!$Z$13*Soil!B130</f>
        <v>0</v>
      </c>
      <c r="T130" s="128">
        <f t="shared" si="72"/>
        <v>0</v>
      </c>
      <c r="U130" s="128">
        <f t="shared" si="73"/>
        <v>0</v>
      </c>
      <c r="V130" s="128">
        <f t="shared" si="74"/>
        <v>5</v>
      </c>
      <c r="W130" s="128">
        <f t="shared" si="75"/>
        <v>5.6</v>
      </c>
      <c r="X130" s="128">
        <f t="shared" si="76"/>
        <v>5.3</v>
      </c>
      <c r="Y130" s="128">
        <f t="shared" si="77"/>
        <v>0.79499999999999993</v>
      </c>
      <c r="Z130" s="129">
        <f t="shared" si="78"/>
        <v>0</v>
      </c>
      <c r="AA130" s="128">
        <f t="shared" si="79"/>
        <v>0</v>
      </c>
      <c r="AB130" s="130">
        <f t="shared" si="80"/>
        <v>0</v>
      </c>
      <c r="AC130" s="131">
        <f t="shared" si="81"/>
        <v>0</v>
      </c>
    </row>
    <row r="131" spans="1:29" hidden="1">
      <c r="A131" s="122">
        <f t="shared" si="60"/>
        <v>840</v>
      </c>
      <c r="B131" s="123">
        <v>0</v>
      </c>
      <c r="C131" s="113"/>
      <c r="D131" s="113"/>
      <c r="E131" s="124">
        <f t="shared" si="61"/>
        <v>0</v>
      </c>
      <c r="F131" s="124">
        <f t="shared" si="62"/>
        <v>0</v>
      </c>
      <c r="G131" s="125">
        <f t="shared" si="82"/>
        <v>5</v>
      </c>
      <c r="H131" s="125">
        <f t="shared" si="83"/>
        <v>0</v>
      </c>
      <c r="I131" s="126">
        <f t="shared" si="63"/>
        <v>5</v>
      </c>
      <c r="J131" s="116">
        <f t="shared" si="64"/>
        <v>6.4</v>
      </c>
      <c r="K131" s="117">
        <f t="shared" si="65"/>
        <v>6.4</v>
      </c>
      <c r="L131" s="116">
        <f t="shared" si="66"/>
        <v>6.4</v>
      </c>
      <c r="M131" s="116">
        <f t="shared" si="67"/>
        <v>0</v>
      </c>
      <c r="N131" s="126">
        <f t="shared" si="68"/>
        <v>5.6</v>
      </c>
      <c r="O131" s="116">
        <f t="shared" si="69"/>
        <v>6.4</v>
      </c>
      <c r="P131" s="126">
        <f t="shared" si="70"/>
        <v>6</v>
      </c>
      <c r="Q131" s="126">
        <f t="shared" si="71"/>
        <v>1.2000000000000002</v>
      </c>
      <c r="R131" s="127">
        <f>(2*ปร.4_1!$W$12)*B131</f>
        <v>0</v>
      </c>
      <c r="S131" s="127">
        <f>ปร.4_1!$Z$13*Soil!B131</f>
        <v>0</v>
      </c>
      <c r="T131" s="128">
        <f t="shared" si="72"/>
        <v>0</v>
      </c>
      <c r="U131" s="128">
        <f t="shared" si="73"/>
        <v>0</v>
      </c>
      <c r="V131" s="128">
        <f t="shared" si="74"/>
        <v>5</v>
      </c>
      <c r="W131" s="128">
        <f t="shared" si="75"/>
        <v>5.6</v>
      </c>
      <c r="X131" s="128">
        <f t="shared" si="76"/>
        <v>5.3</v>
      </c>
      <c r="Y131" s="128">
        <f t="shared" si="77"/>
        <v>0.79499999999999993</v>
      </c>
      <c r="Z131" s="129">
        <f t="shared" si="78"/>
        <v>0</v>
      </c>
      <c r="AA131" s="128">
        <f t="shared" si="79"/>
        <v>0</v>
      </c>
      <c r="AB131" s="130">
        <f t="shared" si="80"/>
        <v>0</v>
      </c>
      <c r="AC131" s="131">
        <f t="shared" si="81"/>
        <v>0</v>
      </c>
    </row>
    <row r="132" spans="1:29" hidden="1">
      <c r="A132" s="122">
        <f t="shared" si="60"/>
        <v>840</v>
      </c>
      <c r="B132" s="123">
        <v>0</v>
      </c>
      <c r="C132" s="113"/>
      <c r="D132" s="113"/>
      <c r="E132" s="124">
        <f t="shared" si="61"/>
        <v>0</v>
      </c>
      <c r="F132" s="124">
        <f t="shared" si="62"/>
        <v>0</v>
      </c>
      <c r="G132" s="125">
        <f t="shared" si="82"/>
        <v>5</v>
      </c>
      <c r="H132" s="125">
        <f t="shared" si="83"/>
        <v>0</v>
      </c>
      <c r="I132" s="126">
        <f t="shared" si="63"/>
        <v>5</v>
      </c>
      <c r="J132" s="116">
        <f t="shared" si="64"/>
        <v>6.4</v>
      </c>
      <c r="K132" s="117">
        <f t="shared" si="65"/>
        <v>6.4</v>
      </c>
      <c r="L132" s="116">
        <f t="shared" si="66"/>
        <v>6.4</v>
      </c>
      <c r="M132" s="116">
        <f t="shared" si="67"/>
        <v>0</v>
      </c>
      <c r="N132" s="126">
        <f t="shared" si="68"/>
        <v>5.6</v>
      </c>
      <c r="O132" s="116">
        <f t="shared" si="69"/>
        <v>6.4</v>
      </c>
      <c r="P132" s="126">
        <f t="shared" si="70"/>
        <v>6</v>
      </c>
      <c r="Q132" s="126">
        <f t="shared" si="71"/>
        <v>1.2000000000000002</v>
      </c>
      <c r="R132" s="127">
        <f>(2*ปร.4_1!$W$12)*B132</f>
        <v>0</v>
      </c>
      <c r="S132" s="127">
        <f>ปร.4_1!$Z$13*Soil!B132</f>
        <v>0</v>
      </c>
      <c r="T132" s="128">
        <f t="shared" si="72"/>
        <v>0</v>
      </c>
      <c r="U132" s="128">
        <f t="shared" si="73"/>
        <v>0</v>
      </c>
      <c r="V132" s="128">
        <f t="shared" si="74"/>
        <v>5</v>
      </c>
      <c r="W132" s="128">
        <f t="shared" si="75"/>
        <v>5.6</v>
      </c>
      <c r="X132" s="128">
        <f t="shared" si="76"/>
        <v>5.3</v>
      </c>
      <c r="Y132" s="128">
        <f t="shared" si="77"/>
        <v>0.79499999999999993</v>
      </c>
      <c r="Z132" s="129">
        <f t="shared" si="78"/>
        <v>0</v>
      </c>
      <c r="AA132" s="128">
        <f t="shared" si="79"/>
        <v>0</v>
      </c>
      <c r="AB132" s="130">
        <f t="shared" si="80"/>
        <v>0</v>
      </c>
      <c r="AC132" s="131">
        <f t="shared" si="81"/>
        <v>0</v>
      </c>
    </row>
    <row r="133" spans="1:29" hidden="1">
      <c r="A133" s="122">
        <f t="shared" si="60"/>
        <v>840</v>
      </c>
      <c r="B133" s="123">
        <v>0</v>
      </c>
      <c r="C133" s="113"/>
      <c r="D133" s="113"/>
      <c r="E133" s="124">
        <f t="shared" si="61"/>
        <v>0</v>
      </c>
      <c r="F133" s="124">
        <f t="shared" si="62"/>
        <v>0</v>
      </c>
      <c r="G133" s="125">
        <f t="shared" si="82"/>
        <v>5</v>
      </c>
      <c r="H133" s="125">
        <f t="shared" si="83"/>
        <v>0</v>
      </c>
      <c r="I133" s="126">
        <f t="shared" si="63"/>
        <v>5</v>
      </c>
      <c r="J133" s="116">
        <f t="shared" si="64"/>
        <v>6.4</v>
      </c>
      <c r="K133" s="117">
        <f t="shared" si="65"/>
        <v>6.4</v>
      </c>
      <c r="L133" s="116">
        <f t="shared" si="66"/>
        <v>6.4</v>
      </c>
      <c r="M133" s="116">
        <f t="shared" si="67"/>
        <v>0</v>
      </c>
      <c r="N133" s="126">
        <f t="shared" si="68"/>
        <v>5.6</v>
      </c>
      <c r="O133" s="116">
        <f t="shared" si="69"/>
        <v>6.4</v>
      </c>
      <c r="P133" s="126">
        <f t="shared" si="70"/>
        <v>6</v>
      </c>
      <c r="Q133" s="126">
        <f t="shared" si="71"/>
        <v>1.2000000000000002</v>
      </c>
      <c r="R133" s="127">
        <f>(2*ปร.4_1!$W$12)*B133</f>
        <v>0</v>
      </c>
      <c r="S133" s="127">
        <f>ปร.4_1!$Z$13*Soil!B133</f>
        <v>0</v>
      </c>
      <c r="T133" s="128">
        <f t="shared" si="72"/>
        <v>0</v>
      </c>
      <c r="U133" s="128">
        <f t="shared" si="73"/>
        <v>0</v>
      </c>
      <c r="V133" s="128">
        <f t="shared" si="74"/>
        <v>5</v>
      </c>
      <c r="W133" s="128">
        <f t="shared" si="75"/>
        <v>5.6</v>
      </c>
      <c r="X133" s="128">
        <f t="shared" si="76"/>
        <v>5.3</v>
      </c>
      <c r="Y133" s="128">
        <f t="shared" si="77"/>
        <v>0.79499999999999993</v>
      </c>
      <c r="Z133" s="129">
        <f t="shared" si="78"/>
        <v>0</v>
      </c>
      <c r="AA133" s="128">
        <f t="shared" si="79"/>
        <v>0</v>
      </c>
      <c r="AB133" s="130">
        <f t="shared" si="80"/>
        <v>0</v>
      </c>
      <c r="AC133" s="131">
        <f t="shared" si="81"/>
        <v>0</v>
      </c>
    </row>
    <row r="134" spans="1:29" hidden="1">
      <c r="A134" s="122">
        <f t="shared" si="60"/>
        <v>840</v>
      </c>
      <c r="B134" s="123">
        <v>0</v>
      </c>
      <c r="C134" s="113"/>
      <c r="D134" s="113"/>
      <c r="E134" s="124">
        <f t="shared" si="61"/>
        <v>0</v>
      </c>
      <c r="F134" s="124">
        <f t="shared" si="62"/>
        <v>0</v>
      </c>
      <c r="G134" s="125">
        <f t="shared" si="82"/>
        <v>5</v>
      </c>
      <c r="H134" s="125">
        <f t="shared" si="83"/>
        <v>0</v>
      </c>
      <c r="I134" s="126">
        <f t="shared" si="63"/>
        <v>5</v>
      </c>
      <c r="J134" s="116">
        <f t="shared" si="64"/>
        <v>6.4</v>
      </c>
      <c r="K134" s="117">
        <f t="shared" si="65"/>
        <v>6.4</v>
      </c>
      <c r="L134" s="116">
        <f t="shared" si="66"/>
        <v>6.4</v>
      </c>
      <c r="M134" s="116">
        <f t="shared" si="67"/>
        <v>0</v>
      </c>
      <c r="N134" s="126">
        <f t="shared" si="68"/>
        <v>5.6</v>
      </c>
      <c r="O134" s="116">
        <f t="shared" si="69"/>
        <v>6.4</v>
      </c>
      <c r="P134" s="126">
        <f t="shared" si="70"/>
        <v>6</v>
      </c>
      <c r="Q134" s="126">
        <f t="shared" si="71"/>
        <v>1.2000000000000002</v>
      </c>
      <c r="R134" s="127">
        <f>(2*ปร.4_1!$W$12)*B134</f>
        <v>0</v>
      </c>
      <c r="S134" s="127">
        <f>ปร.4_1!$Z$13*Soil!B134</f>
        <v>0</v>
      </c>
      <c r="T134" s="128">
        <f t="shared" si="72"/>
        <v>0</v>
      </c>
      <c r="U134" s="128">
        <f t="shared" si="73"/>
        <v>0</v>
      </c>
      <c r="V134" s="128">
        <f t="shared" si="74"/>
        <v>5</v>
      </c>
      <c r="W134" s="128">
        <f t="shared" si="75"/>
        <v>5.6</v>
      </c>
      <c r="X134" s="128">
        <f t="shared" si="76"/>
        <v>5.3</v>
      </c>
      <c r="Y134" s="128">
        <f t="shared" si="77"/>
        <v>0.79499999999999993</v>
      </c>
      <c r="Z134" s="129">
        <f t="shared" si="78"/>
        <v>0</v>
      </c>
      <c r="AA134" s="128">
        <f t="shared" si="79"/>
        <v>0</v>
      </c>
      <c r="AB134" s="130">
        <f t="shared" si="80"/>
        <v>0</v>
      </c>
      <c r="AC134" s="131">
        <f t="shared" si="81"/>
        <v>0</v>
      </c>
    </row>
    <row r="135" spans="1:29" hidden="1">
      <c r="A135" s="122">
        <f t="shared" si="60"/>
        <v>840</v>
      </c>
      <c r="B135" s="123">
        <v>0</v>
      </c>
      <c r="C135" s="113"/>
      <c r="D135" s="113"/>
      <c r="E135" s="124">
        <f t="shared" si="61"/>
        <v>0</v>
      </c>
      <c r="F135" s="124">
        <f t="shared" si="62"/>
        <v>0</v>
      </c>
      <c r="G135" s="125">
        <f t="shared" si="82"/>
        <v>5</v>
      </c>
      <c r="H135" s="125">
        <f t="shared" si="83"/>
        <v>0</v>
      </c>
      <c r="I135" s="126">
        <f t="shared" si="63"/>
        <v>5</v>
      </c>
      <c r="J135" s="116">
        <f t="shared" si="64"/>
        <v>6.4</v>
      </c>
      <c r="K135" s="117">
        <f t="shared" si="65"/>
        <v>6.4</v>
      </c>
      <c r="L135" s="116">
        <f t="shared" si="66"/>
        <v>6.4</v>
      </c>
      <c r="M135" s="116">
        <f t="shared" si="67"/>
        <v>0</v>
      </c>
      <c r="N135" s="126">
        <f t="shared" si="68"/>
        <v>5.6</v>
      </c>
      <c r="O135" s="116">
        <f t="shared" si="69"/>
        <v>6.4</v>
      </c>
      <c r="P135" s="126">
        <f t="shared" si="70"/>
        <v>6</v>
      </c>
      <c r="Q135" s="126">
        <f t="shared" si="71"/>
        <v>1.2000000000000002</v>
      </c>
      <c r="R135" s="127">
        <f>(2*ปร.4_1!$W$12)*B135</f>
        <v>0</v>
      </c>
      <c r="S135" s="127">
        <f>ปร.4_1!$Z$13*Soil!B135</f>
        <v>0</v>
      </c>
      <c r="T135" s="128">
        <f t="shared" si="72"/>
        <v>0</v>
      </c>
      <c r="U135" s="128">
        <f t="shared" si="73"/>
        <v>0</v>
      </c>
      <c r="V135" s="128">
        <f t="shared" si="74"/>
        <v>5</v>
      </c>
      <c r="W135" s="128">
        <f t="shared" si="75"/>
        <v>5.6</v>
      </c>
      <c r="X135" s="128">
        <f t="shared" si="76"/>
        <v>5.3</v>
      </c>
      <c r="Y135" s="128">
        <f t="shared" si="77"/>
        <v>0.79499999999999993</v>
      </c>
      <c r="Z135" s="129">
        <f t="shared" si="78"/>
        <v>0</v>
      </c>
      <c r="AA135" s="128">
        <f t="shared" si="79"/>
        <v>0</v>
      </c>
      <c r="AB135" s="130">
        <f t="shared" si="80"/>
        <v>0</v>
      </c>
      <c r="AC135" s="131">
        <f t="shared" si="81"/>
        <v>0</v>
      </c>
    </row>
    <row r="136" spans="1:29" hidden="1">
      <c r="A136" s="122">
        <f t="shared" si="60"/>
        <v>840</v>
      </c>
      <c r="B136" s="123">
        <v>0</v>
      </c>
      <c r="C136" s="113"/>
      <c r="D136" s="113"/>
      <c r="E136" s="124">
        <f t="shared" si="61"/>
        <v>0</v>
      </c>
      <c r="F136" s="124">
        <f t="shared" si="62"/>
        <v>0</v>
      </c>
      <c r="G136" s="125">
        <f t="shared" si="82"/>
        <v>5</v>
      </c>
      <c r="H136" s="125">
        <f t="shared" si="83"/>
        <v>0</v>
      </c>
      <c r="I136" s="126">
        <f t="shared" si="63"/>
        <v>5</v>
      </c>
      <c r="J136" s="116">
        <f t="shared" si="64"/>
        <v>6.4</v>
      </c>
      <c r="K136" s="117">
        <f t="shared" si="65"/>
        <v>6.4</v>
      </c>
      <c r="L136" s="116">
        <f t="shared" si="66"/>
        <v>6.4</v>
      </c>
      <c r="M136" s="116">
        <f t="shared" si="67"/>
        <v>0</v>
      </c>
      <c r="N136" s="126">
        <f t="shared" si="68"/>
        <v>5.6</v>
      </c>
      <c r="O136" s="116">
        <f t="shared" si="69"/>
        <v>6.4</v>
      </c>
      <c r="P136" s="126">
        <f t="shared" si="70"/>
        <v>6</v>
      </c>
      <c r="Q136" s="126">
        <f t="shared" si="71"/>
        <v>1.2000000000000002</v>
      </c>
      <c r="R136" s="127">
        <f>(2*ปร.4_1!$W$12)*B136</f>
        <v>0</v>
      </c>
      <c r="S136" s="127">
        <f>ปร.4_1!$Z$13*Soil!B136</f>
        <v>0</v>
      </c>
      <c r="T136" s="128">
        <f t="shared" si="72"/>
        <v>0</v>
      </c>
      <c r="U136" s="128">
        <f t="shared" si="73"/>
        <v>0</v>
      </c>
      <c r="V136" s="128">
        <f t="shared" si="74"/>
        <v>5</v>
      </c>
      <c r="W136" s="128">
        <f t="shared" si="75"/>
        <v>5.6</v>
      </c>
      <c r="X136" s="128">
        <f t="shared" si="76"/>
        <v>5.3</v>
      </c>
      <c r="Y136" s="128">
        <f t="shared" si="77"/>
        <v>0.79499999999999993</v>
      </c>
      <c r="Z136" s="129">
        <f t="shared" si="78"/>
        <v>0</v>
      </c>
      <c r="AA136" s="128">
        <f t="shared" si="79"/>
        <v>0</v>
      </c>
      <c r="AB136" s="130">
        <f t="shared" si="80"/>
        <v>0</v>
      </c>
      <c r="AC136" s="131">
        <f t="shared" si="81"/>
        <v>0</v>
      </c>
    </row>
    <row r="137" spans="1:29" hidden="1">
      <c r="A137" s="122">
        <f t="shared" si="60"/>
        <v>840</v>
      </c>
      <c r="B137" s="123">
        <v>0</v>
      </c>
      <c r="C137" s="113"/>
      <c r="D137" s="113"/>
      <c r="E137" s="124">
        <f t="shared" si="61"/>
        <v>0</v>
      </c>
      <c r="F137" s="124">
        <f t="shared" si="62"/>
        <v>0</v>
      </c>
      <c r="G137" s="125">
        <f t="shared" si="82"/>
        <v>5</v>
      </c>
      <c r="H137" s="125">
        <f t="shared" si="83"/>
        <v>0</v>
      </c>
      <c r="I137" s="126">
        <f t="shared" si="63"/>
        <v>5</v>
      </c>
      <c r="J137" s="116">
        <f t="shared" si="64"/>
        <v>6.4</v>
      </c>
      <c r="K137" s="117">
        <f t="shared" si="65"/>
        <v>6.4</v>
      </c>
      <c r="L137" s="116">
        <f t="shared" si="66"/>
        <v>6.4</v>
      </c>
      <c r="M137" s="116">
        <f t="shared" si="67"/>
        <v>0</v>
      </c>
      <c r="N137" s="126">
        <f t="shared" si="68"/>
        <v>5.6</v>
      </c>
      <c r="O137" s="116">
        <f t="shared" si="69"/>
        <v>6.4</v>
      </c>
      <c r="P137" s="126">
        <f t="shared" si="70"/>
        <v>6</v>
      </c>
      <c r="Q137" s="126">
        <f t="shared" si="71"/>
        <v>1.2000000000000002</v>
      </c>
      <c r="R137" s="127">
        <f>(2*ปร.4_1!$W$12)*B137</f>
        <v>0</v>
      </c>
      <c r="S137" s="127">
        <f>ปร.4_1!$Z$13*Soil!B137</f>
        <v>0</v>
      </c>
      <c r="T137" s="128">
        <f t="shared" si="72"/>
        <v>0</v>
      </c>
      <c r="U137" s="128">
        <f t="shared" si="73"/>
        <v>0</v>
      </c>
      <c r="V137" s="128">
        <f t="shared" si="74"/>
        <v>5</v>
      </c>
      <c r="W137" s="128">
        <f t="shared" si="75"/>
        <v>5.6</v>
      </c>
      <c r="X137" s="128">
        <f t="shared" si="76"/>
        <v>5.3</v>
      </c>
      <c r="Y137" s="128">
        <f t="shared" si="77"/>
        <v>0.79499999999999993</v>
      </c>
      <c r="Z137" s="129">
        <f t="shared" si="78"/>
        <v>0</v>
      </c>
      <c r="AA137" s="128">
        <f t="shared" si="79"/>
        <v>0</v>
      </c>
      <c r="AB137" s="130">
        <f t="shared" si="80"/>
        <v>0</v>
      </c>
      <c r="AC137" s="131">
        <f t="shared" si="81"/>
        <v>0</v>
      </c>
    </row>
    <row r="138" spans="1:29" hidden="1">
      <c r="A138" s="122">
        <f t="shared" si="60"/>
        <v>840</v>
      </c>
      <c r="B138" s="123">
        <v>0</v>
      </c>
      <c r="C138" s="113"/>
      <c r="D138" s="113"/>
      <c r="E138" s="124">
        <f t="shared" si="61"/>
        <v>0</v>
      </c>
      <c r="F138" s="124">
        <f t="shared" si="62"/>
        <v>0</v>
      </c>
      <c r="G138" s="125">
        <f t="shared" si="82"/>
        <v>5</v>
      </c>
      <c r="H138" s="125">
        <f t="shared" si="83"/>
        <v>0</v>
      </c>
      <c r="I138" s="126">
        <f t="shared" si="63"/>
        <v>5</v>
      </c>
      <c r="J138" s="116">
        <f t="shared" si="64"/>
        <v>6.4</v>
      </c>
      <c r="K138" s="117">
        <f t="shared" si="65"/>
        <v>6.4</v>
      </c>
      <c r="L138" s="116">
        <f t="shared" si="66"/>
        <v>6.4</v>
      </c>
      <c r="M138" s="116">
        <f t="shared" si="67"/>
        <v>0</v>
      </c>
      <c r="N138" s="126">
        <f t="shared" si="68"/>
        <v>5.6</v>
      </c>
      <c r="O138" s="116">
        <f t="shared" si="69"/>
        <v>6.4</v>
      </c>
      <c r="P138" s="126">
        <f t="shared" si="70"/>
        <v>6</v>
      </c>
      <c r="Q138" s="126">
        <f t="shared" si="71"/>
        <v>1.2000000000000002</v>
      </c>
      <c r="R138" s="127">
        <f>(2*ปร.4_1!$W$12)*B138</f>
        <v>0</v>
      </c>
      <c r="S138" s="127">
        <f>ปร.4_1!$Z$13*Soil!B138</f>
        <v>0</v>
      </c>
      <c r="T138" s="128">
        <f t="shared" si="72"/>
        <v>0</v>
      </c>
      <c r="U138" s="128">
        <f t="shared" si="73"/>
        <v>0</v>
      </c>
      <c r="V138" s="128">
        <f t="shared" si="74"/>
        <v>5</v>
      </c>
      <c r="W138" s="128">
        <f t="shared" si="75"/>
        <v>5.6</v>
      </c>
      <c r="X138" s="128">
        <f t="shared" si="76"/>
        <v>5.3</v>
      </c>
      <c r="Y138" s="128">
        <f t="shared" si="77"/>
        <v>0.79499999999999993</v>
      </c>
      <c r="Z138" s="129">
        <f t="shared" si="78"/>
        <v>0</v>
      </c>
      <c r="AA138" s="128">
        <f t="shared" si="79"/>
        <v>0</v>
      </c>
      <c r="AB138" s="130">
        <f t="shared" si="80"/>
        <v>0</v>
      </c>
      <c r="AC138" s="131">
        <f t="shared" si="81"/>
        <v>0</v>
      </c>
    </row>
    <row r="139" spans="1:29" hidden="1">
      <c r="A139" s="122">
        <f t="shared" si="60"/>
        <v>840</v>
      </c>
      <c r="B139" s="123">
        <v>0</v>
      </c>
      <c r="C139" s="113"/>
      <c r="D139" s="113"/>
      <c r="E139" s="124">
        <f t="shared" si="61"/>
        <v>0</v>
      </c>
      <c r="F139" s="124">
        <f t="shared" si="62"/>
        <v>0</v>
      </c>
      <c r="G139" s="125">
        <f t="shared" si="82"/>
        <v>5</v>
      </c>
      <c r="H139" s="125">
        <f t="shared" si="83"/>
        <v>0</v>
      </c>
      <c r="I139" s="126">
        <f t="shared" si="63"/>
        <v>5</v>
      </c>
      <c r="J139" s="116">
        <f t="shared" si="64"/>
        <v>6.4</v>
      </c>
      <c r="K139" s="117">
        <f t="shared" si="65"/>
        <v>6.4</v>
      </c>
      <c r="L139" s="116">
        <f t="shared" si="66"/>
        <v>6.4</v>
      </c>
      <c r="M139" s="116">
        <f t="shared" si="67"/>
        <v>0</v>
      </c>
      <c r="N139" s="126">
        <f t="shared" si="68"/>
        <v>5.6</v>
      </c>
      <c r="O139" s="116">
        <f t="shared" si="69"/>
        <v>6.4</v>
      </c>
      <c r="P139" s="126">
        <f t="shared" si="70"/>
        <v>6</v>
      </c>
      <c r="Q139" s="126">
        <f t="shared" si="71"/>
        <v>1.2000000000000002</v>
      </c>
      <c r="R139" s="127">
        <f>(2*ปร.4_1!$W$12)*B139</f>
        <v>0</v>
      </c>
      <c r="S139" s="127">
        <f>ปร.4_1!$Z$13*Soil!B139</f>
        <v>0</v>
      </c>
      <c r="T139" s="128">
        <f t="shared" si="72"/>
        <v>0</v>
      </c>
      <c r="U139" s="128">
        <f t="shared" si="73"/>
        <v>0</v>
      </c>
      <c r="V139" s="128">
        <f t="shared" si="74"/>
        <v>5</v>
      </c>
      <c r="W139" s="128">
        <f t="shared" si="75"/>
        <v>5.6</v>
      </c>
      <c r="X139" s="128">
        <f t="shared" si="76"/>
        <v>5.3</v>
      </c>
      <c r="Y139" s="128">
        <f t="shared" si="77"/>
        <v>0.79499999999999993</v>
      </c>
      <c r="Z139" s="129">
        <f t="shared" si="78"/>
        <v>0</v>
      </c>
      <c r="AA139" s="128">
        <f t="shared" si="79"/>
        <v>0</v>
      </c>
      <c r="AB139" s="130">
        <f t="shared" si="80"/>
        <v>0</v>
      </c>
      <c r="AC139" s="131">
        <f t="shared" si="81"/>
        <v>0</v>
      </c>
    </row>
    <row r="140" spans="1:29" hidden="1">
      <c r="A140" s="122">
        <f t="shared" si="60"/>
        <v>840</v>
      </c>
      <c r="B140" s="123">
        <v>0</v>
      </c>
      <c r="C140" s="113"/>
      <c r="D140" s="113"/>
      <c r="E140" s="124">
        <f t="shared" si="61"/>
        <v>0</v>
      </c>
      <c r="F140" s="124">
        <f t="shared" si="62"/>
        <v>0</v>
      </c>
      <c r="G140" s="125">
        <f t="shared" si="82"/>
        <v>5</v>
      </c>
      <c r="H140" s="125">
        <f t="shared" si="83"/>
        <v>0</v>
      </c>
      <c r="I140" s="126">
        <f t="shared" si="63"/>
        <v>5</v>
      </c>
      <c r="J140" s="116">
        <f t="shared" si="64"/>
        <v>6.4</v>
      </c>
      <c r="K140" s="117">
        <f t="shared" si="65"/>
        <v>6.4</v>
      </c>
      <c r="L140" s="116">
        <f t="shared" si="66"/>
        <v>6.4</v>
      </c>
      <c r="M140" s="116">
        <f t="shared" si="67"/>
        <v>0</v>
      </c>
      <c r="N140" s="126">
        <f t="shared" si="68"/>
        <v>5.6</v>
      </c>
      <c r="O140" s="116">
        <f t="shared" si="69"/>
        <v>6.4</v>
      </c>
      <c r="P140" s="126">
        <f t="shared" si="70"/>
        <v>6</v>
      </c>
      <c r="Q140" s="126">
        <f t="shared" si="71"/>
        <v>1.2000000000000002</v>
      </c>
      <c r="R140" s="127">
        <f>(2*ปร.4_1!$W$12)*B140</f>
        <v>0</v>
      </c>
      <c r="S140" s="127">
        <f>ปร.4_1!$Z$13*Soil!B140</f>
        <v>0</v>
      </c>
      <c r="T140" s="128">
        <f t="shared" si="72"/>
        <v>0</v>
      </c>
      <c r="U140" s="128">
        <f t="shared" si="73"/>
        <v>0</v>
      </c>
      <c r="V140" s="128">
        <f t="shared" si="74"/>
        <v>5</v>
      </c>
      <c r="W140" s="128">
        <f t="shared" si="75"/>
        <v>5.6</v>
      </c>
      <c r="X140" s="128">
        <f t="shared" si="76"/>
        <v>5.3</v>
      </c>
      <c r="Y140" s="128">
        <f t="shared" si="77"/>
        <v>0.79499999999999993</v>
      </c>
      <c r="Z140" s="129">
        <f t="shared" si="78"/>
        <v>0</v>
      </c>
      <c r="AA140" s="128">
        <f t="shared" si="79"/>
        <v>0</v>
      </c>
      <c r="AB140" s="130">
        <f t="shared" si="80"/>
        <v>0</v>
      </c>
      <c r="AC140" s="131">
        <f t="shared" si="81"/>
        <v>0</v>
      </c>
    </row>
    <row r="141" spans="1:29" hidden="1">
      <c r="A141" s="122">
        <f t="shared" si="60"/>
        <v>840</v>
      </c>
      <c r="B141" s="123">
        <v>0</v>
      </c>
      <c r="C141" s="113"/>
      <c r="D141" s="113"/>
      <c r="E141" s="124">
        <f t="shared" si="61"/>
        <v>0</v>
      </c>
      <c r="F141" s="124">
        <f t="shared" si="62"/>
        <v>0</v>
      </c>
      <c r="G141" s="125">
        <f t="shared" si="82"/>
        <v>5</v>
      </c>
      <c r="H141" s="125">
        <f t="shared" si="83"/>
        <v>0</v>
      </c>
      <c r="I141" s="126">
        <f t="shared" si="63"/>
        <v>5</v>
      </c>
      <c r="J141" s="116">
        <f t="shared" si="64"/>
        <v>6.4</v>
      </c>
      <c r="K141" s="117">
        <f t="shared" si="65"/>
        <v>6.4</v>
      </c>
      <c r="L141" s="116">
        <f t="shared" si="66"/>
        <v>6.4</v>
      </c>
      <c r="M141" s="116">
        <f t="shared" si="67"/>
        <v>0</v>
      </c>
      <c r="N141" s="126">
        <f t="shared" si="68"/>
        <v>5.6</v>
      </c>
      <c r="O141" s="116">
        <f t="shared" si="69"/>
        <v>6.4</v>
      </c>
      <c r="P141" s="126">
        <f t="shared" si="70"/>
        <v>6</v>
      </c>
      <c r="Q141" s="126">
        <f t="shared" si="71"/>
        <v>1.2000000000000002</v>
      </c>
      <c r="R141" s="127">
        <f>(2*ปร.4_1!$W$12)*B141</f>
        <v>0</v>
      </c>
      <c r="S141" s="127">
        <f>ปร.4_1!$Z$13*Soil!B141</f>
        <v>0</v>
      </c>
      <c r="T141" s="128">
        <f t="shared" si="72"/>
        <v>0</v>
      </c>
      <c r="U141" s="128">
        <f t="shared" si="73"/>
        <v>0</v>
      </c>
      <c r="V141" s="128">
        <f t="shared" si="74"/>
        <v>5</v>
      </c>
      <c r="W141" s="128">
        <f t="shared" si="75"/>
        <v>5.6</v>
      </c>
      <c r="X141" s="128">
        <f t="shared" si="76"/>
        <v>5.3</v>
      </c>
      <c r="Y141" s="128">
        <f t="shared" si="77"/>
        <v>0.79499999999999993</v>
      </c>
      <c r="Z141" s="129">
        <f t="shared" si="78"/>
        <v>0</v>
      </c>
      <c r="AA141" s="128">
        <f t="shared" si="79"/>
        <v>0</v>
      </c>
      <c r="AB141" s="130">
        <f t="shared" si="80"/>
        <v>0</v>
      </c>
      <c r="AC141" s="131">
        <f t="shared" si="81"/>
        <v>0</v>
      </c>
    </row>
    <row r="142" spans="1:29" hidden="1">
      <c r="A142" s="122">
        <f t="shared" si="60"/>
        <v>840</v>
      </c>
      <c r="B142" s="123">
        <v>0</v>
      </c>
      <c r="C142" s="113"/>
      <c r="D142" s="113"/>
      <c r="E142" s="124">
        <f t="shared" si="61"/>
        <v>0</v>
      </c>
      <c r="F142" s="124">
        <f t="shared" si="62"/>
        <v>0</v>
      </c>
      <c r="G142" s="125">
        <f t="shared" si="82"/>
        <v>5</v>
      </c>
      <c r="H142" s="125">
        <f t="shared" si="83"/>
        <v>0</v>
      </c>
      <c r="I142" s="126">
        <f t="shared" si="63"/>
        <v>5</v>
      </c>
      <c r="J142" s="116">
        <f t="shared" si="64"/>
        <v>6.4</v>
      </c>
      <c r="K142" s="117">
        <f t="shared" si="65"/>
        <v>6.4</v>
      </c>
      <c r="L142" s="116">
        <f t="shared" si="66"/>
        <v>6.4</v>
      </c>
      <c r="M142" s="116">
        <f t="shared" si="67"/>
        <v>0</v>
      </c>
      <c r="N142" s="126">
        <f t="shared" si="68"/>
        <v>5.6</v>
      </c>
      <c r="O142" s="116">
        <f t="shared" si="69"/>
        <v>6.4</v>
      </c>
      <c r="P142" s="126">
        <f t="shared" si="70"/>
        <v>6</v>
      </c>
      <c r="Q142" s="126">
        <f t="shared" si="71"/>
        <v>1.2000000000000002</v>
      </c>
      <c r="R142" s="127">
        <f>(2*ปร.4_1!$W$12)*B142</f>
        <v>0</v>
      </c>
      <c r="S142" s="127">
        <f>ปร.4_1!$Z$13*Soil!B142</f>
        <v>0</v>
      </c>
      <c r="T142" s="128">
        <f t="shared" si="72"/>
        <v>0</v>
      </c>
      <c r="U142" s="128">
        <f t="shared" si="73"/>
        <v>0</v>
      </c>
      <c r="V142" s="128">
        <f t="shared" si="74"/>
        <v>5</v>
      </c>
      <c r="W142" s="128">
        <f t="shared" si="75"/>
        <v>5.6</v>
      </c>
      <c r="X142" s="128">
        <f t="shared" si="76"/>
        <v>5.3</v>
      </c>
      <c r="Y142" s="128">
        <f t="shared" si="77"/>
        <v>0.79499999999999993</v>
      </c>
      <c r="Z142" s="129">
        <f t="shared" si="78"/>
        <v>0</v>
      </c>
      <c r="AA142" s="128">
        <f t="shared" si="79"/>
        <v>0</v>
      </c>
      <c r="AB142" s="130">
        <f t="shared" si="80"/>
        <v>0</v>
      </c>
      <c r="AC142" s="131">
        <f t="shared" si="81"/>
        <v>0</v>
      </c>
    </row>
    <row r="143" spans="1:29" hidden="1">
      <c r="A143" s="122">
        <f t="shared" si="60"/>
        <v>840</v>
      </c>
      <c r="B143" s="123">
        <v>0</v>
      </c>
      <c r="C143" s="113"/>
      <c r="D143" s="113"/>
      <c r="E143" s="124">
        <f t="shared" si="61"/>
        <v>0</v>
      </c>
      <c r="F143" s="124">
        <f t="shared" si="62"/>
        <v>0</v>
      </c>
      <c r="G143" s="125">
        <f t="shared" si="82"/>
        <v>5</v>
      </c>
      <c r="H143" s="125">
        <f t="shared" si="83"/>
        <v>0</v>
      </c>
      <c r="I143" s="126">
        <f t="shared" si="63"/>
        <v>5</v>
      </c>
      <c r="J143" s="116">
        <f t="shared" si="64"/>
        <v>6.4</v>
      </c>
      <c r="K143" s="117">
        <f t="shared" si="65"/>
        <v>6.4</v>
      </c>
      <c r="L143" s="116">
        <f t="shared" si="66"/>
        <v>6.4</v>
      </c>
      <c r="M143" s="116">
        <f t="shared" si="67"/>
        <v>0</v>
      </c>
      <c r="N143" s="126">
        <f t="shared" si="68"/>
        <v>5.6</v>
      </c>
      <c r="O143" s="116">
        <f t="shared" si="69"/>
        <v>6.4</v>
      </c>
      <c r="P143" s="126">
        <f t="shared" si="70"/>
        <v>6</v>
      </c>
      <c r="Q143" s="126">
        <f t="shared" si="71"/>
        <v>1.2000000000000002</v>
      </c>
      <c r="R143" s="127">
        <f>(2*ปร.4_1!$W$12)*B143</f>
        <v>0</v>
      </c>
      <c r="S143" s="127">
        <f>ปร.4_1!$Z$13*Soil!B143</f>
        <v>0</v>
      </c>
      <c r="T143" s="128">
        <f t="shared" si="72"/>
        <v>0</v>
      </c>
      <c r="U143" s="128">
        <f t="shared" si="73"/>
        <v>0</v>
      </c>
      <c r="V143" s="128">
        <f t="shared" si="74"/>
        <v>5</v>
      </c>
      <c r="W143" s="128">
        <f t="shared" si="75"/>
        <v>5.6</v>
      </c>
      <c r="X143" s="128">
        <f t="shared" si="76"/>
        <v>5.3</v>
      </c>
      <c r="Y143" s="128">
        <f t="shared" si="77"/>
        <v>0.79499999999999993</v>
      </c>
      <c r="Z143" s="129">
        <f t="shared" si="78"/>
        <v>0</v>
      </c>
      <c r="AA143" s="128">
        <f t="shared" si="79"/>
        <v>0</v>
      </c>
      <c r="AB143" s="130">
        <f t="shared" si="80"/>
        <v>0</v>
      </c>
      <c r="AC143" s="131">
        <f t="shared" si="81"/>
        <v>0</v>
      </c>
    </row>
    <row r="144" spans="1:29" hidden="1">
      <c r="A144" s="122">
        <f t="shared" si="60"/>
        <v>840</v>
      </c>
      <c r="B144" s="123">
        <v>0</v>
      </c>
      <c r="C144" s="113"/>
      <c r="D144" s="113"/>
      <c r="E144" s="124">
        <f t="shared" si="61"/>
        <v>0</v>
      </c>
      <c r="F144" s="124">
        <f t="shared" si="62"/>
        <v>0</v>
      </c>
      <c r="G144" s="125">
        <f t="shared" si="82"/>
        <v>5</v>
      </c>
      <c r="H144" s="125">
        <f t="shared" si="83"/>
        <v>0</v>
      </c>
      <c r="I144" s="126">
        <f t="shared" si="63"/>
        <v>5</v>
      </c>
      <c r="J144" s="116">
        <f t="shared" si="64"/>
        <v>6.4</v>
      </c>
      <c r="K144" s="117">
        <f t="shared" si="65"/>
        <v>6.4</v>
      </c>
      <c r="L144" s="116">
        <f t="shared" si="66"/>
        <v>6.4</v>
      </c>
      <c r="M144" s="116">
        <f t="shared" si="67"/>
        <v>0</v>
      </c>
      <c r="N144" s="126">
        <f t="shared" si="68"/>
        <v>5.6</v>
      </c>
      <c r="O144" s="116">
        <f t="shared" si="69"/>
        <v>6.4</v>
      </c>
      <c r="P144" s="126">
        <f t="shared" si="70"/>
        <v>6</v>
      </c>
      <c r="Q144" s="126">
        <f t="shared" si="71"/>
        <v>1.2000000000000002</v>
      </c>
      <c r="R144" s="127">
        <f>(2*ปร.4_1!$W$12)*B144</f>
        <v>0</v>
      </c>
      <c r="S144" s="127">
        <f>ปร.4_1!$Z$13*Soil!B144</f>
        <v>0</v>
      </c>
      <c r="T144" s="128">
        <f t="shared" si="72"/>
        <v>0</v>
      </c>
      <c r="U144" s="128">
        <f t="shared" si="73"/>
        <v>0</v>
      </c>
      <c r="V144" s="128">
        <f t="shared" si="74"/>
        <v>5</v>
      </c>
      <c r="W144" s="128">
        <f t="shared" si="75"/>
        <v>5.6</v>
      </c>
      <c r="X144" s="128">
        <f t="shared" si="76"/>
        <v>5.3</v>
      </c>
      <c r="Y144" s="128">
        <f t="shared" si="77"/>
        <v>0.79499999999999993</v>
      </c>
      <c r="Z144" s="129">
        <f t="shared" si="78"/>
        <v>0</v>
      </c>
      <c r="AA144" s="128">
        <f t="shared" si="79"/>
        <v>0</v>
      </c>
      <c r="AB144" s="130">
        <f t="shared" si="80"/>
        <v>0</v>
      </c>
      <c r="AC144" s="131">
        <f t="shared" si="81"/>
        <v>0</v>
      </c>
    </row>
    <row r="145" spans="1:29" hidden="1">
      <c r="A145" s="122">
        <f t="shared" si="60"/>
        <v>840</v>
      </c>
      <c r="B145" s="123">
        <v>0</v>
      </c>
      <c r="C145" s="113"/>
      <c r="D145" s="113"/>
      <c r="E145" s="124">
        <f t="shared" si="61"/>
        <v>0</v>
      </c>
      <c r="F145" s="124">
        <f t="shared" si="62"/>
        <v>0</v>
      </c>
      <c r="G145" s="125">
        <f t="shared" ref="G145:G176" si="84">G144</f>
        <v>5</v>
      </c>
      <c r="H145" s="125">
        <f t="shared" ref="H145:H176" si="85">H144</f>
        <v>0</v>
      </c>
      <c r="I145" s="126">
        <f t="shared" si="63"/>
        <v>5</v>
      </c>
      <c r="J145" s="116">
        <f t="shared" si="64"/>
        <v>6.4</v>
      </c>
      <c r="K145" s="117">
        <f t="shared" si="65"/>
        <v>6.4</v>
      </c>
      <c r="L145" s="116">
        <f t="shared" si="66"/>
        <v>6.4</v>
      </c>
      <c r="M145" s="116">
        <f t="shared" si="67"/>
        <v>0</v>
      </c>
      <c r="N145" s="126">
        <f t="shared" si="68"/>
        <v>5.6</v>
      </c>
      <c r="O145" s="116">
        <f t="shared" si="69"/>
        <v>6.4</v>
      </c>
      <c r="P145" s="126">
        <f t="shared" si="70"/>
        <v>6</v>
      </c>
      <c r="Q145" s="126">
        <f t="shared" si="71"/>
        <v>1.2000000000000002</v>
      </c>
      <c r="R145" s="127">
        <f>(2*ปร.4_1!$W$12)*B145</f>
        <v>0</v>
      </c>
      <c r="S145" s="127">
        <f>ปร.4_1!$Z$13*Soil!B145</f>
        <v>0</v>
      </c>
      <c r="T145" s="128">
        <f t="shared" si="72"/>
        <v>0</v>
      </c>
      <c r="U145" s="128">
        <f t="shared" si="73"/>
        <v>0</v>
      </c>
      <c r="V145" s="128">
        <f t="shared" si="74"/>
        <v>5</v>
      </c>
      <c r="W145" s="128">
        <f t="shared" si="75"/>
        <v>5.6</v>
      </c>
      <c r="X145" s="128">
        <f t="shared" si="76"/>
        <v>5.3</v>
      </c>
      <c r="Y145" s="128">
        <f t="shared" si="77"/>
        <v>0.79499999999999993</v>
      </c>
      <c r="Z145" s="129">
        <f t="shared" si="78"/>
        <v>0</v>
      </c>
      <c r="AA145" s="128">
        <f t="shared" si="79"/>
        <v>0</v>
      </c>
      <c r="AB145" s="130">
        <f t="shared" si="80"/>
        <v>0</v>
      </c>
      <c r="AC145" s="131">
        <f t="shared" si="81"/>
        <v>0</v>
      </c>
    </row>
    <row r="146" spans="1:29" hidden="1">
      <c r="A146" s="122">
        <f t="shared" si="60"/>
        <v>840</v>
      </c>
      <c r="B146" s="123">
        <v>0</v>
      </c>
      <c r="C146" s="113"/>
      <c r="D146" s="113"/>
      <c r="E146" s="124">
        <f t="shared" si="61"/>
        <v>0</v>
      </c>
      <c r="F146" s="124">
        <f t="shared" si="62"/>
        <v>0</v>
      </c>
      <c r="G146" s="125">
        <f t="shared" si="84"/>
        <v>5</v>
      </c>
      <c r="H146" s="125">
        <f t="shared" si="85"/>
        <v>0</v>
      </c>
      <c r="I146" s="126">
        <f t="shared" si="63"/>
        <v>5</v>
      </c>
      <c r="J146" s="116">
        <f t="shared" si="64"/>
        <v>6.4</v>
      </c>
      <c r="K146" s="117">
        <f t="shared" si="65"/>
        <v>6.4</v>
      </c>
      <c r="L146" s="116">
        <f t="shared" si="66"/>
        <v>6.4</v>
      </c>
      <c r="M146" s="116">
        <f t="shared" si="67"/>
        <v>0</v>
      </c>
      <c r="N146" s="126">
        <f t="shared" si="68"/>
        <v>5.6</v>
      </c>
      <c r="O146" s="116">
        <f t="shared" si="69"/>
        <v>6.4</v>
      </c>
      <c r="P146" s="126">
        <f t="shared" si="70"/>
        <v>6</v>
      </c>
      <c r="Q146" s="126">
        <f t="shared" si="71"/>
        <v>1.2000000000000002</v>
      </c>
      <c r="R146" s="127">
        <f>(2*ปร.4_1!$W$12)*B146</f>
        <v>0</v>
      </c>
      <c r="S146" s="127">
        <f>ปร.4_1!$Z$13*Soil!B146</f>
        <v>0</v>
      </c>
      <c r="T146" s="128">
        <f t="shared" si="72"/>
        <v>0</v>
      </c>
      <c r="U146" s="128">
        <f t="shared" si="73"/>
        <v>0</v>
      </c>
      <c r="V146" s="128">
        <f t="shared" si="74"/>
        <v>5</v>
      </c>
      <c r="W146" s="128">
        <f t="shared" si="75"/>
        <v>5.6</v>
      </c>
      <c r="X146" s="128">
        <f t="shared" si="76"/>
        <v>5.3</v>
      </c>
      <c r="Y146" s="128">
        <f t="shared" si="77"/>
        <v>0.79499999999999993</v>
      </c>
      <c r="Z146" s="129">
        <f t="shared" si="78"/>
        <v>0</v>
      </c>
      <c r="AA146" s="128">
        <f t="shared" si="79"/>
        <v>0</v>
      </c>
      <c r="AB146" s="130">
        <f t="shared" si="80"/>
        <v>0</v>
      </c>
      <c r="AC146" s="131">
        <f t="shared" si="81"/>
        <v>0</v>
      </c>
    </row>
    <row r="147" spans="1:29" hidden="1">
      <c r="A147" s="122">
        <f t="shared" ref="A147:A166" si="86">A146+B147</f>
        <v>840</v>
      </c>
      <c r="B147" s="123">
        <v>0</v>
      </c>
      <c r="C147" s="113"/>
      <c r="D147" s="113"/>
      <c r="E147" s="124">
        <f t="shared" ref="E147:E166" si="87">(C146+C147)/2*B147</f>
        <v>0</v>
      </c>
      <c r="F147" s="124">
        <f t="shared" ref="F147:F166" si="88">+(D146+D147)/2*B147</f>
        <v>0</v>
      </c>
      <c r="G147" s="125">
        <f t="shared" si="84"/>
        <v>5</v>
      </c>
      <c r="H147" s="125">
        <f t="shared" si="85"/>
        <v>0</v>
      </c>
      <c r="I147" s="126">
        <f t="shared" ref="I147:I166" si="89">+G147+2*H147</f>
        <v>5</v>
      </c>
      <c r="J147" s="116">
        <f t="shared" ref="J147:J166" si="90">IF(I147=0,0,I147+2*($I$3+I$4)/(1/$I$1))</f>
        <v>6.4</v>
      </c>
      <c r="K147" s="117">
        <f t="shared" ref="K147:K166" si="91">IF(I147=0,0,I147+2*($I$2+$I$3+$I$4)/(1/$I$1))</f>
        <v>6.4</v>
      </c>
      <c r="L147" s="116">
        <f t="shared" ref="L147:L166" si="92">(J147+K147)/2</f>
        <v>6.4</v>
      </c>
      <c r="M147" s="116">
        <f t="shared" ref="M147:M166" si="93">L147*$I$2</f>
        <v>0</v>
      </c>
      <c r="N147" s="126">
        <f t="shared" ref="N147:N166" si="94">IF(I147=0,0,I147+2*$I$4/(1/$I$1))</f>
        <v>5.6</v>
      </c>
      <c r="O147" s="116">
        <f t="shared" ref="O147:O166" si="95">IF(I147=0,0,I147+2*($I$3+$I$4)/(1/$I$1))</f>
        <v>6.4</v>
      </c>
      <c r="P147" s="126">
        <f t="shared" ref="P147:P166" si="96">+(N147+O147)/2</f>
        <v>6</v>
      </c>
      <c r="Q147" s="126">
        <f t="shared" ref="Q147:Q166" si="97">+P147*$I$3</f>
        <v>1.2000000000000002</v>
      </c>
      <c r="R147" s="127">
        <f>(2*ปร.4_1!$W$12)*B147</f>
        <v>0</v>
      </c>
      <c r="S147" s="127">
        <f>ปร.4_1!$Z$13*Soil!B147</f>
        <v>0</v>
      </c>
      <c r="T147" s="128">
        <f t="shared" ref="T147:T166" si="98">IF(G147=0,0,(M147+M146)/2*B147)</f>
        <v>0</v>
      </c>
      <c r="U147" s="128">
        <f t="shared" ref="U147:U166" si="99">IF(G147=0,0,(Q147+Q146)/2*B147)</f>
        <v>0</v>
      </c>
      <c r="V147" s="128">
        <f t="shared" ref="V147:V166" si="100">+I147</f>
        <v>5</v>
      </c>
      <c r="W147" s="128">
        <f t="shared" ref="W147:W166" si="101">N147</f>
        <v>5.6</v>
      </c>
      <c r="X147" s="128">
        <f t="shared" ref="X147:X166" si="102">+(V147+W147)/2</f>
        <v>5.3</v>
      </c>
      <c r="Y147" s="128">
        <f t="shared" ref="Y147:Y166" si="103">+X147*$I$4</f>
        <v>0.79499999999999993</v>
      </c>
      <c r="Z147" s="129">
        <f t="shared" ref="Z147:Z166" si="104">IF(G147=0,0,(Y147+Y146)/2*B147)</f>
        <v>0</v>
      </c>
      <c r="AA147" s="128">
        <f t="shared" ref="AA147:AA166" si="105">IF(G147=0,0,(G146+G147)/2*B147)</f>
        <v>0</v>
      </c>
      <c r="AB147" s="130">
        <f t="shared" ref="AB147:AB166" si="106">IF(G147=0,0,(2*H146+2*H147)/2*B147)</f>
        <v>0</v>
      </c>
      <c r="AC147" s="131">
        <f t="shared" ref="AC147:AC166" si="107">IF(G147&gt;0,B147,0)</f>
        <v>0</v>
      </c>
    </row>
    <row r="148" spans="1:29" hidden="1">
      <c r="A148" s="122">
        <f t="shared" si="86"/>
        <v>840</v>
      </c>
      <c r="B148" s="123">
        <v>0</v>
      </c>
      <c r="C148" s="113"/>
      <c r="D148" s="113"/>
      <c r="E148" s="124">
        <f t="shared" si="87"/>
        <v>0</v>
      </c>
      <c r="F148" s="124">
        <f t="shared" si="88"/>
        <v>0</v>
      </c>
      <c r="G148" s="125">
        <f t="shared" si="84"/>
        <v>5</v>
      </c>
      <c r="H148" s="125">
        <f t="shared" si="85"/>
        <v>0</v>
      </c>
      <c r="I148" s="126">
        <f t="shared" si="89"/>
        <v>5</v>
      </c>
      <c r="J148" s="116">
        <f t="shared" si="90"/>
        <v>6.4</v>
      </c>
      <c r="K148" s="117">
        <f t="shared" si="91"/>
        <v>6.4</v>
      </c>
      <c r="L148" s="116">
        <f t="shared" si="92"/>
        <v>6.4</v>
      </c>
      <c r="M148" s="116">
        <f t="shared" si="93"/>
        <v>0</v>
      </c>
      <c r="N148" s="126">
        <f t="shared" si="94"/>
        <v>5.6</v>
      </c>
      <c r="O148" s="116">
        <f t="shared" si="95"/>
        <v>6.4</v>
      </c>
      <c r="P148" s="126">
        <f t="shared" si="96"/>
        <v>6</v>
      </c>
      <c r="Q148" s="126">
        <f t="shared" si="97"/>
        <v>1.2000000000000002</v>
      </c>
      <c r="R148" s="127">
        <f>(2*ปร.4_1!$W$12)*B148</f>
        <v>0</v>
      </c>
      <c r="S148" s="127">
        <f>ปร.4_1!$Z$13*Soil!B148</f>
        <v>0</v>
      </c>
      <c r="T148" s="128">
        <f t="shared" si="98"/>
        <v>0</v>
      </c>
      <c r="U148" s="128">
        <f t="shared" si="99"/>
        <v>0</v>
      </c>
      <c r="V148" s="128">
        <f t="shared" si="100"/>
        <v>5</v>
      </c>
      <c r="W148" s="128">
        <f t="shared" si="101"/>
        <v>5.6</v>
      </c>
      <c r="X148" s="128">
        <f t="shared" si="102"/>
        <v>5.3</v>
      </c>
      <c r="Y148" s="128">
        <f t="shared" si="103"/>
        <v>0.79499999999999993</v>
      </c>
      <c r="Z148" s="129">
        <f t="shared" si="104"/>
        <v>0</v>
      </c>
      <c r="AA148" s="128">
        <f t="shared" si="105"/>
        <v>0</v>
      </c>
      <c r="AB148" s="130">
        <f t="shared" si="106"/>
        <v>0</v>
      </c>
      <c r="AC148" s="131">
        <f t="shared" si="107"/>
        <v>0</v>
      </c>
    </row>
    <row r="149" spans="1:29" hidden="1">
      <c r="A149" s="122">
        <f t="shared" si="86"/>
        <v>840</v>
      </c>
      <c r="B149" s="123">
        <v>0</v>
      </c>
      <c r="C149" s="113"/>
      <c r="D149" s="113"/>
      <c r="E149" s="124">
        <f t="shared" si="87"/>
        <v>0</v>
      </c>
      <c r="F149" s="124">
        <f t="shared" si="88"/>
        <v>0</v>
      </c>
      <c r="G149" s="125">
        <f t="shared" si="84"/>
        <v>5</v>
      </c>
      <c r="H149" s="125">
        <f t="shared" si="85"/>
        <v>0</v>
      </c>
      <c r="I149" s="126">
        <f t="shared" si="89"/>
        <v>5</v>
      </c>
      <c r="J149" s="116">
        <f t="shared" si="90"/>
        <v>6.4</v>
      </c>
      <c r="K149" s="117">
        <f t="shared" si="91"/>
        <v>6.4</v>
      </c>
      <c r="L149" s="116">
        <f t="shared" si="92"/>
        <v>6.4</v>
      </c>
      <c r="M149" s="116">
        <f t="shared" si="93"/>
        <v>0</v>
      </c>
      <c r="N149" s="126">
        <f t="shared" si="94"/>
        <v>5.6</v>
      </c>
      <c r="O149" s="116">
        <f t="shared" si="95"/>
        <v>6.4</v>
      </c>
      <c r="P149" s="126">
        <f t="shared" si="96"/>
        <v>6</v>
      </c>
      <c r="Q149" s="126">
        <f t="shared" si="97"/>
        <v>1.2000000000000002</v>
      </c>
      <c r="R149" s="127">
        <f>(2*ปร.4_1!$W$12)*B149</f>
        <v>0</v>
      </c>
      <c r="S149" s="127">
        <f>ปร.4_1!$Z$13*Soil!B149</f>
        <v>0</v>
      </c>
      <c r="T149" s="128">
        <f t="shared" si="98"/>
        <v>0</v>
      </c>
      <c r="U149" s="128">
        <f t="shared" si="99"/>
        <v>0</v>
      </c>
      <c r="V149" s="128">
        <f t="shared" si="100"/>
        <v>5</v>
      </c>
      <c r="W149" s="128">
        <f t="shared" si="101"/>
        <v>5.6</v>
      </c>
      <c r="X149" s="128">
        <f t="shared" si="102"/>
        <v>5.3</v>
      </c>
      <c r="Y149" s="128">
        <f t="shared" si="103"/>
        <v>0.79499999999999993</v>
      </c>
      <c r="Z149" s="129">
        <f t="shared" si="104"/>
        <v>0</v>
      </c>
      <c r="AA149" s="128">
        <f t="shared" si="105"/>
        <v>0</v>
      </c>
      <c r="AB149" s="130">
        <f t="shared" si="106"/>
        <v>0</v>
      </c>
      <c r="AC149" s="131">
        <f t="shared" si="107"/>
        <v>0</v>
      </c>
    </row>
    <row r="150" spans="1:29" hidden="1">
      <c r="A150" s="122">
        <f t="shared" si="86"/>
        <v>840</v>
      </c>
      <c r="B150" s="123">
        <v>0</v>
      </c>
      <c r="C150" s="113"/>
      <c r="D150" s="113"/>
      <c r="E150" s="124">
        <f t="shared" si="87"/>
        <v>0</v>
      </c>
      <c r="F150" s="124">
        <f t="shared" si="88"/>
        <v>0</v>
      </c>
      <c r="G150" s="125">
        <f t="shared" si="84"/>
        <v>5</v>
      </c>
      <c r="H150" s="125">
        <f t="shared" si="85"/>
        <v>0</v>
      </c>
      <c r="I150" s="126">
        <f t="shared" si="89"/>
        <v>5</v>
      </c>
      <c r="J150" s="116">
        <f t="shared" si="90"/>
        <v>6.4</v>
      </c>
      <c r="K150" s="117">
        <f t="shared" si="91"/>
        <v>6.4</v>
      </c>
      <c r="L150" s="116">
        <f t="shared" si="92"/>
        <v>6.4</v>
      </c>
      <c r="M150" s="116">
        <f t="shared" si="93"/>
        <v>0</v>
      </c>
      <c r="N150" s="126">
        <f t="shared" si="94"/>
        <v>5.6</v>
      </c>
      <c r="O150" s="116">
        <f t="shared" si="95"/>
        <v>6.4</v>
      </c>
      <c r="P150" s="126">
        <f t="shared" si="96"/>
        <v>6</v>
      </c>
      <c r="Q150" s="126">
        <f t="shared" si="97"/>
        <v>1.2000000000000002</v>
      </c>
      <c r="R150" s="127">
        <f>(2*ปร.4_1!$W$12)*B150</f>
        <v>0</v>
      </c>
      <c r="S150" s="127">
        <f>ปร.4_1!$Z$13*Soil!B150</f>
        <v>0</v>
      </c>
      <c r="T150" s="128">
        <f t="shared" si="98"/>
        <v>0</v>
      </c>
      <c r="U150" s="128">
        <f t="shared" si="99"/>
        <v>0</v>
      </c>
      <c r="V150" s="128">
        <f t="shared" si="100"/>
        <v>5</v>
      </c>
      <c r="W150" s="128">
        <f t="shared" si="101"/>
        <v>5.6</v>
      </c>
      <c r="X150" s="128">
        <f t="shared" si="102"/>
        <v>5.3</v>
      </c>
      <c r="Y150" s="128">
        <f t="shared" si="103"/>
        <v>0.79499999999999993</v>
      </c>
      <c r="Z150" s="129">
        <f t="shared" si="104"/>
        <v>0</v>
      </c>
      <c r="AA150" s="128">
        <f t="shared" si="105"/>
        <v>0</v>
      </c>
      <c r="AB150" s="130">
        <f t="shared" si="106"/>
        <v>0</v>
      </c>
      <c r="AC150" s="131">
        <f t="shared" si="107"/>
        <v>0</v>
      </c>
    </row>
    <row r="151" spans="1:29" hidden="1">
      <c r="A151" s="122">
        <f t="shared" si="86"/>
        <v>840</v>
      </c>
      <c r="B151" s="123">
        <v>0</v>
      </c>
      <c r="C151" s="113"/>
      <c r="D151" s="113"/>
      <c r="E151" s="124">
        <f t="shared" si="87"/>
        <v>0</v>
      </c>
      <c r="F151" s="124">
        <f t="shared" si="88"/>
        <v>0</v>
      </c>
      <c r="G151" s="125">
        <f t="shared" si="84"/>
        <v>5</v>
      </c>
      <c r="H151" s="125">
        <f t="shared" si="85"/>
        <v>0</v>
      </c>
      <c r="I151" s="126">
        <f t="shared" si="89"/>
        <v>5</v>
      </c>
      <c r="J151" s="116">
        <f t="shared" si="90"/>
        <v>6.4</v>
      </c>
      <c r="K151" s="117">
        <f t="shared" si="91"/>
        <v>6.4</v>
      </c>
      <c r="L151" s="116">
        <f t="shared" si="92"/>
        <v>6.4</v>
      </c>
      <c r="M151" s="116">
        <f t="shared" si="93"/>
        <v>0</v>
      </c>
      <c r="N151" s="126">
        <f t="shared" si="94"/>
        <v>5.6</v>
      </c>
      <c r="O151" s="116">
        <f t="shared" si="95"/>
        <v>6.4</v>
      </c>
      <c r="P151" s="126">
        <f t="shared" si="96"/>
        <v>6</v>
      </c>
      <c r="Q151" s="126">
        <f t="shared" si="97"/>
        <v>1.2000000000000002</v>
      </c>
      <c r="R151" s="127">
        <f>(2*ปร.4_1!$W$12)*B151</f>
        <v>0</v>
      </c>
      <c r="S151" s="127">
        <f>ปร.4_1!$Z$13*Soil!B151</f>
        <v>0</v>
      </c>
      <c r="T151" s="128">
        <f t="shared" si="98"/>
        <v>0</v>
      </c>
      <c r="U151" s="128">
        <f t="shared" si="99"/>
        <v>0</v>
      </c>
      <c r="V151" s="128">
        <f t="shared" si="100"/>
        <v>5</v>
      </c>
      <c r="W151" s="128">
        <f t="shared" si="101"/>
        <v>5.6</v>
      </c>
      <c r="X151" s="128">
        <f t="shared" si="102"/>
        <v>5.3</v>
      </c>
      <c r="Y151" s="128">
        <f t="shared" si="103"/>
        <v>0.79499999999999993</v>
      </c>
      <c r="Z151" s="129">
        <f t="shared" si="104"/>
        <v>0</v>
      </c>
      <c r="AA151" s="128">
        <f t="shared" si="105"/>
        <v>0</v>
      </c>
      <c r="AB151" s="130">
        <f t="shared" si="106"/>
        <v>0</v>
      </c>
      <c r="AC151" s="131">
        <f t="shared" si="107"/>
        <v>0</v>
      </c>
    </row>
    <row r="152" spans="1:29" hidden="1">
      <c r="A152" s="122">
        <f t="shared" si="86"/>
        <v>840</v>
      </c>
      <c r="B152" s="123">
        <v>0</v>
      </c>
      <c r="C152" s="113"/>
      <c r="D152" s="113"/>
      <c r="E152" s="124">
        <f t="shared" si="87"/>
        <v>0</v>
      </c>
      <c r="F152" s="124">
        <f t="shared" si="88"/>
        <v>0</v>
      </c>
      <c r="G152" s="125">
        <f t="shared" si="84"/>
        <v>5</v>
      </c>
      <c r="H152" s="125">
        <f t="shared" si="85"/>
        <v>0</v>
      </c>
      <c r="I152" s="126">
        <f t="shared" si="89"/>
        <v>5</v>
      </c>
      <c r="J152" s="116">
        <f t="shared" si="90"/>
        <v>6.4</v>
      </c>
      <c r="K152" s="117">
        <f t="shared" si="91"/>
        <v>6.4</v>
      </c>
      <c r="L152" s="116">
        <f t="shared" si="92"/>
        <v>6.4</v>
      </c>
      <c r="M152" s="116">
        <f t="shared" si="93"/>
        <v>0</v>
      </c>
      <c r="N152" s="126">
        <f t="shared" si="94"/>
        <v>5.6</v>
      </c>
      <c r="O152" s="116">
        <f t="shared" si="95"/>
        <v>6.4</v>
      </c>
      <c r="P152" s="126">
        <f t="shared" si="96"/>
        <v>6</v>
      </c>
      <c r="Q152" s="126">
        <f t="shared" si="97"/>
        <v>1.2000000000000002</v>
      </c>
      <c r="R152" s="127">
        <f>(2*ปร.4_1!$W$12)*B152</f>
        <v>0</v>
      </c>
      <c r="S152" s="127">
        <f>ปร.4_1!$Z$13*Soil!B152</f>
        <v>0</v>
      </c>
      <c r="T152" s="128">
        <f t="shared" si="98"/>
        <v>0</v>
      </c>
      <c r="U152" s="128">
        <f t="shared" si="99"/>
        <v>0</v>
      </c>
      <c r="V152" s="128">
        <f t="shared" si="100"/>
        <v>5</v>
      </c>
      <c r="W152" s="128">
        <f t="shared" si="101"/>
        <v>5.6</v>
      </c>
      <c r="X152" s="128">
        <f t="shared" si="102"/>
        <v>5.3</v>
      </c>
      <c r="Y152" s="128">
        <f t="shared" si="103"/>
        <v>0.79499999999999993</v>
      </c>
      <c r="Z152" s="129">
        <f t="shared" si="104"/>
        <v>0</v>
      </c>
      <c r="AA152" s="128">
        <f t="shared" si="105"/>
        <v>0</v>
      </c>
      <c r="AB152" s="130">
        <f t="shared" si="106"/>
        <v>0</v>
      </c>
      <c r="AC152" s="131">
        <f t="shared" si="107"/>
        <v>0</v>
      </c>
    </row>
    <row r="153" spans="1:29" hidden="1">
      <c r="A153" s="122">
        <f t="shared" si="86"/>
        <v>840</v>
      </c>
      <c r="B153" s="123">
        <v>0</v>
      </c>
      <c r="C153" s="113"/>
      <c r="D153" s="113"/>
      <c r="E153" s="124">
        <f t="shared" si="87"/>
        <v>0</v>
      </c>
      <c r="F153" s="124">
        <f t="shared" si="88"/>
        <v>0</v>
      </c>
      <c r="G153" s="125">
        <f t="shared" si="84"/>
        <v>5</v>
      </c>
      <c r="H153" s="125">
        <f t="shared" si="85"/>
        <v>0</v>
      </c>
      <c r="I153" s="126">
        <f t="shared" si="89"/>
        <v>5</v>
      </c>
      <c r="J153" s="116">
        <f t="shared" si="90"/>
        <v>6.4</v>
      </c>
      <c r="K153" s="117">
        <f t="shared" si="91"/>
        <v>6.4</v>
      </c>
      <c r="L153" s="116">
        <f t="shared" si="92"/>
        <v>6.4</v>
      </c>
      <c r="M153" s="116">
        <f t="shared" si="93"/>
        <v>0</v>
      </c>
      <c r="N153" s="126">
        <f t="shared" si="94"/>
        <v>5.6</v>
      </c>
      <c r="O153" s="116">
        <f t="shared" si="95"/>
        <v>6.4</v>
      </c>
      <c r="P153" s="126">
        <f t="shared" si="96"/>
        <v>6</v>
      </c>
      <c r="Q153" s="126">
        <f t="shared" si="97"/>
        <v>1.2000000000000002</v>
      </c>
      <c r="R153" s="127">
        <f>(2*ปร.4_1!$W$12)*B153</f>
        <v>0</v>
      </c>
      <c r="S153" s="127">
        <f>ปร.4_1!$Z$13*Soil!B153</f>
        <v>0</v>
      </c>
      <c r="T153" s="128">
        <f t="shared" si="98"/>
        <v>0</v>
      </c>
      <c r="U153" s="128">
        <f t="shared" si="99"/>
        <v>0</v>
      </c>
      <c r="V153" s="128">
        <f t="shared" si="100"/>
        <v>5</v>
      </c>
      <c r="W153" s="128">
        <f t="shared" si="101"/>
        <v>5.6</v>
      </c>
      <c r="X153" s="128">
        <f t="shared" si="102"/>
        <v>5.3</v>
      </c>
      <c r="Y153" s="128">
        <f t="shared" si="103"/>
        <v>0.79499999999999993</v>
      </c>
      <c r="Z153" s="129">
        <f t="shared" si="104"/>
        <v>0</v>
      </c>
      <c r="AA153" s="128">
        <f t="shared" si="105"/>
        <v>0</v>
      </c>
      <c r="AB153" s="130">
        <f t="shared" si="106"/>
        <v>0</v>
      </c>
      <c r="AC153" s="131">
        <f t="shared" si="107"/>
        <v>0</v>
      </c>
    </row>
    <row r="154" spans="1:29" hidden="1">
      <c r="A154" s="122">
        <f t="shared" si="86"/>
        <v>840</v>
      </c>
      <c r="B154" s="123">
        <v>0</v>
      </c>
      <c r="C154" s="113"/>
      <c r="D154" s="113"/>
      <c r="E154" s="124">
        <f t="shared" si="87"/>
        <v>0</v>
      </c>
      <c r="F154" s="124">
        <f t="shared" si="88"/>
        <v>0</v>
      </c>
      <c r="G154" s="125">
        <f t="shared" si="84"/>
        <v>5</v>
      </c>
      <c r="H154" s="125">
        <f t="shared" si="85"/>
        <v>0</v>
      </c>
      <c r="I154" s="126">
        <f t="shared" si="89"/>
        <v>5</v>
      </c>
      <c r="J154" s="116">
        <f t="shared" si="90"/>
        <v>6.4</v>
      </c>
      <c r="K154" s="117">
        <f t="shared" si="91"/>
        <v>6.4</v>
      </c>
      <c r="L154" s="116">
        <f t="shared" si="92"/>
        <v>6.4</v>
      </c>
      <c r="M154" s="116">
        <f t="shared" si="93"/>
        <v>0</v>
      </c>
      <c r="N154" s="126">
        <f t="shared" si="94"/>
        <v>5.6</v>
      </c>
      <c r="O154" s="116">
        <f t="shared" si="95"/>
        <v>6.4</v>
      </c>
      <c r="P154" s="126">
        <f t="shared" si="96"/>
        <v>6</v>
      </c>
      <c r="Q154" s="126">
        <f t="shared" si="97"/>
        <v>1.2000000000000002</v>
      </c>
      <c r="R154" s="127">
        <f>(2*ปร.4_1!$W$12)*B154</f>
        <v>0</v>
      </c>
      <c r="S154" s="127">
        <f>ปร.4_1!$Z$13*Soil!B154</f>
        <v>0</v>
      </c>
      <c r="T154" s="128">
        <f t="shared" si="98"/>
        <v>0</v>
      </c>
      <c r="U154" s="128">
        <f t="shared" si="99"/>
        <v>0</v>
      </c>
      <c r="V154" s="128">
        <f t="shared" si="100"/>
        <v>5</v>
      </c>
      <c r="W154" s="128">
        <f t="shared" si="101"/>
        <v>5.6</v>
      </c>
      <c r="X154" s="128">
        <f t="shared" si="102"/>
        <v>5.3</v>
      </c>
      <c r="Y154" s="128">
        <f t="shared" si="103"/>
        <v>0.79499999999999993</v>
      </c>
      <c r="Z154" s="129">
        <f t="shared" si="104"/>
        <v>0</v>
      </c>
      <c r="AA154" s="128">
        <f t="shared" si="105"/>
        <v>0</v>
      </c>
      <c r="AB154" s="130">
        <f t="shared" si="106"/>
        <v>0</v>
      </c>
      <c r="AC154" s="131">
        <f t="shared" si="107"/>
        <v>0</v>
      </c>
    </row>
    <row r="155" spans="1:29" hidden="1">
      <c r="A155" s="122">
        <f t="shared" si="86"/>
        <v>840</v>
      </c>
      <c r="B155" s="123">
        <v>0</v>
      </c>
      <c r="C155" s="113"/>
      <c r="D155" s="113"/>
      <c r="E155" s="124">
        <f t="shared" si="87"/>
        <v>0</v>
      </c>
      <c r="F155" s="124">
        <f t="shared" si="88"/>
        <v>0</v>
      </c>
      <c r="G155" s="125">
        <f t="shared" si="84"/>
        <v>5</v>
      </c>
      <c r="H155" s="125">
        <f t="shared" si="85"/>
        <v>0</v>
      </c>
      <c r="I155" s="126">
        <f t="shared" si="89"/>
        <v>5</v>
      </c>
      <c r="J155" s="116">
        <f t="shared" si="90"/>
        <v>6.4</v>
      </c>
      <c r="K155" s="117">
        <f t="shared" si="91"/>
        <v>6.4</v>
      </c>
      <c r="L155" s="116">
        <f t="shared" si="92"/>
        <v>6.4</v>
      </c>
      <c r="M155" s="116">
        <f t="shared" si="93"/>
        <v>0</v>
      </c>
      <c r="N155" s="126">
        <f t="shared" si="94"/>
        <v>5.6</v>
      </c>
      <c r="O155" s="116">
        <f t="shared" si="95"/>
        <v>6.4</v>
      </c>
      <c r="P155" s="126">
        <f t="shared" si="96"/>
        <v>6</v>
      </c>
      <c r="Q155" s="126">
        <f t="shared" si="97"/>
        <v>1.2000000000000002</v>
      </c>
      <c r="R155" s="127">
        <f>(2*ปร.4_1!$W$12)*B155</f>
        <v>0</v>
      </c>
      <c r="S155" s="127">
        <f>ปร.4_1!$Z$13*Soil!B155</f>
        <v>0</v>
      </c>
      <c r="T155" s="128">
        <f t="shared" si="98"/>
        <v>0</v>
      </c>
      <c r="U155" s="128">
        <f t="shared" si="99"/>
        <v>0</v>
      </c>
      <c r="V155" s="128">
        <f t="shared" si="100"/>
        <v>5</v>
      </c>
      <c r="W155" s="128">
        <f t="shared" si="101"/>
        <v>5.6</v>
      </c>
      <c r="X155" s="128">
        <f t="shared" si="102"/>
        <v>5.3</v>
      </c>
      <c r="Y155" s="128">
        <f t="shared" si="103"/>
        <v>0.79499999999999993</v>
      </c>
      <c r="Z155" s="129">
        <f t="shared" si="104"/>
        <v>0</v>
      </c>
      <c r="AA155" s="128">
        <f t="shared" si="105"/>
        <v>0</v>
      </c>
      <c r="AB155" s="130">
        <f t="shared" si="106"/>
        <v>0</v>
      </c>
      <c r="AC155" s="131">
        <f t="shared" si="107"/>
        <v>0</v>
      </c>
    </row>
    <row r="156" spans="1:29" hidden="1">
      <c r="A156" s="122">
        <f t="shared" si="86"/>
        <v>840</v>
      </c>
      <c r="B156" s="123">
        <v>0</v>
      </c>
      <c r="C156" s="113"/>
      <c r="D156" s="113"/>
      <c r="E156" s="124">
        <f t="shared" si="87"/>
        <v>0</v>
      </c>
      <c r="F156" s="124">
        <f t="shared" si="88"/>
        <v>0</v>
      </c>
      <c r="G156" s="125">
        <f t="shared" si="84"/>
        <v>5</v>
      </c>
      <c r="H156" s="125">
        <f t="shared" si="85"/>
        <v>0</v>
      </c>
      <c r="I156" s="126">
        <f t="shared" si="89"/>
        <v>5</v>
      </c>
      <c r="J156" s="116">
        <f t="shared" si="90"/>
        <v>6.4</v>
      </c>
      <c r="K156" s="117">
        <f t="shared" si="91"/>
        <v>6.4</v>
      </c>
      <c r="L156" s="116">
        <f t="shared" si="92"/>
        <v>6.4</v>
      </c>
      <c r="M156" s="116">
        <f t="shared" si="93"/>
        <v>0</v>
      </c>
      <c r="N156" s="126">
        <f t="shared" si="94"/>
        <v>5.6</v>
      </c>
      <c r="O156" s="116">
        <f t="shared" si="95"/>
        <v>6.4</v>
      </c>
      <c r="P156" s="126">
        <f t="shared" si="96"/>
        <v>6</v>
      </c>
      <c r="Q156" s="126">
        <f t="shared" si="97"/>
        <v>1.2000000000000002</v>
      </c>
      <c r="R156" s="127">
        <f>(2*ปร.4_1!$W$12)*B156</f>
        <v>0</v>
      </c>
      <c r="S156" s="127">
        <f>ปร.4_1!$Z$13*Soil!B156</f>
        <v>0</v>
      </c>
      <c r="T156" s="128">
        <f t="shared" si="98"/>
        <v>0</v>
      </c>
      <c r="U156" s="128">
        <f t="shared" si="99"/>
        <v>0</v>
      </c>
      <c r="V156" s="128">
        <f t="shared" si="100"/>
        <v>5</v>
      </c>
      <c r="W156" s="128">
        <f t="shared" si="101"/>
        <v>5.6</v>
      </c>
      <c r="X156" s="128">
        <f t="shared" si="102"/>
        <v>5.3</v>
      </c>
      <c r="Y156" s="128">
        <f t="shared" si="103"/>
        <v>0.79499999999999993</v>
      </c>
      <c r="Z156" s="129">
        <f t="shared" si="104"/>
        <v>0</v>
      </c>
      <c r="AA156" s="128">
        <f t="shared" si="105"/>
        <v>0</v>
      </c>
      <c r="AB156" s="130">
        <f t="shared" si="106"/>
        <v>0</v>
      </c>
      <c r="AC156" s="131">
        <f t="shared" si="107"/>
        <v>0</v>
      </c>
    </row>
    <row r="157" spans="1:29" hidden="1">
      <c r="A157" s="122">
        <f t="shared" si="86"/>
        <v>840</v>
      </c>
      <c r="B157" s="123">
        <v>0</v>
      </c>
      <c r="C157" s="113"/>
      <c r="D157" s="113"/>
      <c r="E157" s="124">
        <f t="shared" si="87"/>
        <v>0</v>
      </c>
      <c r="F157" s="124">
        <f t="shared" si="88"/>
        <v>0</v>
      </c>
      <c r="G157" s="125">
        <f t="shared" si="84"/>
        <v>5</v>
      </c>
      <c r="H157" s="125">
        <f t="shared" si="85"/>
        <v>0</v>
      </c>
      <c r="I157" s="126">
        <f t="shared" si="89"/>
        <v>5</v>
      </c>
      <c r="J157" s="116">
        <f t="shared" si="90"/>
        <v>6.4</v>
      </c>
      <c r="K157" s="117">
        <f t="shared" si="91"/>
        <v>6.4</v>
      </c>
      <c r="L157" s="116">
        <f t="shared" si="92"/>
        <v>6.4</v>
      </c>
      <c r="M157" s="116">
        <f t="shared" si="93"/>
        <v>0</v>
      </c>
      <c r="N157" s="126">
        <f t="shared" si="94"/>
        <v>5.6</v>
      </c>
      <c r="O157" s="116">
        <f t="shared" si="95"/>
        <v>6.4</v>
      </c>
      <c r="P157" s="126">
        <f t="shared" si="96"/>
        <v>6</v>
      </c>
      <c r="Q157" s="126">
        <f t="shared" si="97"/>
        <v>1.2000000000000002</v>
      </c>
      <c r="R157" s="127">
        <f>(2*ปร.4_1!$W$12)*B157</f>
        <v>0</v>
      </c>
      <c r="S157" s="127">
        <f>ปร.4_1!$Z$13*Soil!B157</f>
        <v>0</v>
      </c>
      <c r="T157" s="128">
        <f t="shared" si="98"/>
        <v>0</v>
      </c>
      <c r="U157" s="128">
        <f t="shared" si="99"/>
        <v>0</v>
      </c>
      <c r="V157" s="128">
        <f t="shared" si="100"/>
        <v>5</v>
      </c>
      <c r="W157" s="128">
        <f t="shared" si="101"/>
        <v>5.6</v>
      </c>
      <c r="X157" s="128">
        <f t="shared" si="102"/>
        <v>5.3</v>
      </c>
      <c r="Y157" s="128">
        <f t="shared" si="103"/>
        <v>0.79499999999999993</v>
      </c>
      <c r="Z157" s="129">
        <f t="shared" si="104"/>
        <v>0</v>
      </c>
      <c r="AA157" s="128">
        <f t="shared" si="105"/>
        <v>0</v>
      </c>
      <c r="AB157" s="130">
        <f t="shared" si="106"/>
        <v>0</v>
      </c>
      <c r="AC157" s="131">
        <f t="shared" si="107"/>
        <v>0</v>
      </c>
    </row>
    <row r="158" spans="1:29" hidden="1">
      <c r="A158" s="122">
        <f t="shared" si="86"/>
        <v>840</v>
      </c>
      <c r="B158" s="123">
        <v>0</v>
      </c>
      <c r="C158" s="113"/>
      <c r="D158" s="113"/>
      <c r="E158" s="124">
        <f t="shared" si="87"/>
        <v>0</v>
      </c>
      <c r="F158" s="124">
        <f t="shared" si="88"/>
        <v>0</v>
      </c>
      <c r="G158" s="125">
        <f t="shared" si="84"/>
        <v>5</v>
      </c>
      <c r="H158" s="125">
        <f t="shared" si="85"/>
        <v>0</v>
      </c>
      <c r="I158" s="126">
        <f t="shared" si="89"/>
        <v>5</v>
      </c>
      <c r="J158" s="116">
        <f t="shared" si="90"/>
        <v>6.4</v>
      </c>
      <c r="K158" s="117">
        <f t="shared" si="91"/>
        <v>6.4</v>
      </c>
      <c r="L158" s="116">
        <f t="shared" si="92"/>
        <v>6.4</v>
      </c>
      <c r="M158" s="116">
        <f t="shared" si="93"/>
        <v>0</v>
      </c>
      <c r="N158" s="126">
        <f t="shared" si="94"/>
        <v>5.6</v>
      </c>
      <c r="O158" s="116">
        <f t="shared" si="95"/>
        <v>6.4</v>
      </c>
      <c r="P158" s="126">
        <f t="shared" si="96"/>
        <v>6</v>
      </c>
      <c r="Q158" s="126">
        <f t="shared" si="97"/>
        <v>1.2000000000000002</v>
      </c>
      <c r="R158" s="127">
        <f>(2*ปร.4_1!$W$12)*B158</f>
        <v>0</v>
      </c>
      <c r="S158" s="127">
        <f>ปร.4_1!$Z$13*Soil!B158</f>
        <v>0</v>
      </c>
      <c r="T158" s="128">
        <f t="shared" si="98"/>
        <v>0</v>
      </c>
      <c r="U158" s="128">
        <f t="shared" si="99"/>
        <v>0</v>
      </c>
      <c r="V158" s="128">
        <f t="shared" si="100"/>
        <v>5</v>
      </c>
      <c r="W158" s="128">
        <f t="shared" si="101"/>
        <v>5.6</v>
      </c>
      <c r="X158" s="128">
        <f t="shared" si="102"/>
        <v>5.3</v>
      </c>
      <c r="Y158" s="128">
        <f t="shared" si="103"/>
        <v>0.79499999999999993</v>
      </c>
      <c r="Z158" s="129">
        <f t="shared" si="104"/>
        <v>0</v>
      </c>
      <c r="AA158" s="128">
        <f t="shared" si="105"/>
        <v>0</v>
      </c>
      <c r="AB158" s="130">
        <f t="shared" si="106"/>
        <v>0</v>
      </c>
      <c r="AC158" s="131">
        <f t="shared" si="107"/>
        <v>0</v>
      </c>
    </row>
    <row r="159" spans="1:29" hidden="1">
      <c r="A159" s="122">
        <f t="shared" si="86"/>
        <v>840</v>
      </c>
      <c r="B159" s="123">
        <v>0</v>
      </c>
      <c r="C159" s="113"/>
      <c r="D159" s="113"/>
      <c r="E159" s="124">
        <f t="shared" si="87"/>
        <v>0</v>
      </c>
      <c r="F159" s="124">
        <f t="shared" si="88"/>
        <v>0</v>
      </c>
      <c r="G159" s="125">
        <f t="shared" si="84"/>
        <v>5</v>
      </c>
      <c r="H159" s="125">
        <f t="shared" si="85"/>
        <v>0</v>
      </c>
      <c r="I159" s="126">
        <f t="shared" si="89"/>
        <v>5</v>
      </c>
      <c r="J159" s="116">
        <f t="shared" si="90"/>
        <v>6.4</v>
      </c>
      <c r="K159" s="117">
        <f t="shared" si="91"/>
        <v>6.4</v>
      </c>
      <c r="L159" s="116">
        <f t="shared" si="92"/>
        <v>6.4</v>
      </c>
      <c r="M159" s="116">
        <f t="shared" si="93"/>
        <v>0</v>
      </c>
      <c r="N159" s="126">
        <f t="shared" si="94"/>
        <v>5.6</v>
      </c>
      <c r="O159" s="116">
        <f t="shared" si="95"/>
        <v>6.4</v>
      </c>
      <c r="P159" s="126">
        <f t="shared" si="96"/>
        <v>6</v>
      </c>
      <c r="Q159" s="126">
        <f t="shared" si="97"/>
        <v>1.2000000000000002</v>
      </c>
      <c r="R159" s="127">
        <f>(2*ปร.4_1!$W$12)*B159</f>
        <v>0</v>
      </c>
      <c r="S159" s="127">
        <f>ปร.4_1!$Z$13*Soil!B159</f>
        <v>0</v>
      </c>
      <c r="T159" s="128">
        <f t="shared" si="98"/>
        <v>0</v>
      </c>
      <c r="U159" s="128">
        <f t="shared" si="99"/>
        <v>0</v>
      </c>
      <c r="V159" s="128">
        <f t="shared" si="100"/>
        <v>5</v>
      </c>
      <c r="W159" s="128">
        <f t="shared" si="101"/>
        <v>5.6</v>
      </c>
      <c r="X159" s="128">
        <f t="shared" si="102"/>
        <v>5.3</v>
      </c>
      <c r="Y159" s="128">
        <f t="shared" si="103"/>
        <v>0.79499999999999993</v>
      </c>
      <c r="Z159" s="129">
        <f t="shared" si="104"/>
        <v>0</v>
      </c>
      <c r="AA159" s="128">
        <f t="shared" si="105"/>
        <v>0</v>
      </c>
      <c r="AB159" s="130">
        <f t="shared" si="106"/>
        <v>0</v>
      </c>
      <c r="AC159" s="131">
        <f t="shared" si="107"/>
        <v>0</v>
      </c>
    </row>
    <row r="160" spans="1:29" hidden="1">
      <c r="A160" s="122">
        <f t="shared" si="86"/>
        <v>840</v>
      </c>
      <c r="B160" s="123">
        <v>0</v>
      </c>
      <c r="C160" s="113"/>
      <c r="D160" s="113"/>
      <c r="E160" s="124">
        <f t="shared" si="87"/>
        <v>0</v>
      </c>
      <c r="F160" s="124">
        <f t="shared" si="88"/>
        <v>0</v>
      </c>
      <c r="G160" s="125">
        <f t="shared" si="84"/>
        <v>5</v>
      </c>
      <c r="H160" s="125">
        <f t="shared" si="85"/>
        <v>0</v>
      </c>
      <c r="I160" s="126">
        <f t="shared" si="89"/>
        <v>5</v>
      </c>
      <c r="J160" s="116">
        <f t="shared" si="90"/>
        <v>6.4</v>
      </c>
      <c r="K160" s="117">
        <f t="shared" si="91"/>
        <v>6.4</v>
      </c>
      <c r="L160" s="116">
        <f t="shared" si="92"/>
        <v>6.4</v>
      </c>
      <c r="M160" s="116">
        <f t="shared" si="93"/>
        <v>0</v>
      </c>
      <c r="N160" s="126">
        <f t="shared" si="94"/>
        <v>5.6</v>
      </c>
      <c r="O160" s="116">
        <f t="shared" si="95"/>
        <v>6.4</v>
      </c>
      <c r="P160" s="126">
        <f t="shared" si="96"/>
        <v>6</v>
      </c>
      <c r="Q160" s="126">
        <f t="shared" si="97"/>
        <v>1.2000000000000002</v>
      </c>
      <c r="R160" s="127">
        <f>(2*ปร.4_1!$W$12)*B160</f>
        <v>0</v>
      </c>
      <c r="S160" s="127">
        <f>ปร.4_1!$Z$13*Soil!B160</f>
        <v>0</v>
      </c>
      <c r="T160" s="128">
        <f t="shared" si="98"/>
        <v>0</v>
      </c>
      <c r="U160" s="128">
        <f t="shared" si="99"/>
        <v>0</v>
      </c>
      <c r="V160" s="128">
        <f t="shared" si="100"/>
        <v>5</v>
      </c>
      <c r="W160" s="128">
        <f t="shared" si="101"/>
        <v>5.6</v>
      </c>
      <c r="X160" s="128">
        <f t="shared" si="102"/>
        <v>5.3</v>
      </c>
      <c r="Y160" s="128">
        <f t="shared" si="103"/>
        <v>0.79499999999999993</v>
      </c>
      <c r="Z160" s="129">
        <f t="shared" si="104"/>
        <v>0</v>
      </c>
      <c r="AA160" s="128">
        <f t="shared" si="105"/>
        <v>0</v>
      </c>
      <c r="AB160" s="130">
        <f t="shared" si="106"/>
        <v>0</v>
      </c>
      <c r="AC160" s="131">
        <f t="shared" si="107"/>
        <v>0</v>
      </c>
    </row>
    <row r="161" spans="1:29" hidden="1">
      <c r="A161" s="122">
        <f t="shared" si="86"/>
        <v>840</v>
      </c>
      <c r="B161" s="123">
        <v>0</v>
      </c>
      <c r="C161" s="113"/>
      <c r="D161" s="113"/>
      <c r="E161" s="124">
        <f t="shared" si="87"/>
        <v>0</v>
      </c>
      <c r="F161" s="124">
        <f t="shared" si="88"/>
        <v>0</v>
      </c>
      <c r="G161" s="125">
        <f t="shared" si="84"/>
        <v>5</v>
      </c>
      <c r="H161" s="125">
        <f t="shared" si="85"/>
        <v>0</v>
      </c>
      <c r="I161" s="126">
        <f t="shared" si="89"/>
        <v>5</v>
      </c>
      <c r="J161" s="116">
        <f t="shared" si="90"/>
        <v>6.4</v>
      </c>
      <c r="K161" s="117">
        <f t="shared" si="91"/>
        <v>6.4</v>
      </c>
      <c r="L161" s="116">
        <f t="shared" si="92"/>
        <v>6.4</v>
      </c>
      <c r="M161" s="116">
        <f t="shared" si="93"/>
        <v>0</v>
      </c>
      <c r="N161" s="126">
        <f t="shared" si="94"/>
        <v>5.6</v>
      </c>
      <c r="O161" s="116">
        <f t="shared" si="95"/>
        <v>6.4</v>
      </c>
      <c r="P161" s="126">
        <f t="shared" si="96"/>
        <v>6</v>
      </c>
      <c r="Q161" s="126">
        <f t="shared" si="97"/>
        <v>1.2000000000000002</v>
      </c>
      <c r="R161" s="127">
        <f>(2*ปร.4_1!$W$12)*B161</f>
        <v>0</v>
      </c>
      <c r="S161" s="127">
        <f>ปร.4_1!$Z$13*Soil!B161</f>
        <v>0</v>
      </c>
      <c r="T161" s="128">
        <f t="shared" si="98"/>
        <v>0</v>
      </c>
      <c r="U161" s="128">
        <f t="shared" si="99"/>
        <v>0</v>
      </c>
      <c r="V161" s="128">
        <f t="shared" si="100"/>
        <v>5</v>
      </c>
      <c r="W161" s="128">
        <f t="shared" si="101"/>
        <v>5.6</v>
      </c>
      <c r="X161" s="128">
        <f t="shared" si="102"/>
        <v>5.3</v>
      </c>
      <c r="Y161" s="128">
        <f t="shared" si="103"/>
        <v>0.79499999999999993</v>
      </c>
      <c r="Z161" s="129">
        <f t="shared" si="104"/>
        <v>0</v>
      </c>
      <c r="AA161" s="128">
        <f t="shared" si="105"/>
        <v>0</v>
      </c>
      <c r="AB161" s="130">
        <f t="shared" si="106"/>
        <v>0</v>
      </c>
      <c r="AC161" s="131">
        <f t="shared" si="107"/>
        <v>0</v>
      </c>
    </row>
    <row r="162" spans="1:29" hidden="1">
      <c r="A162" s="122">
        <f t="shared" si="86"/>
        <v>840</v>
      </c>
      <c r="B162" s="123">
        <v>0</v>
      </c>
      <c r="C162" s="113"/>
      <c r="D162" s="113"/>
      <c r="E162" s="124">
        <f t="shared" si="87"/>
        <v>0</v>
      </c>
      <c r="F162" s="124">
        <f t="shared" si="88"/>
        <v>0</v>
      </c>
      <c r="G162" s="125">
        <f t="shared" si="84"/>
        <v>5</v>
      </c>
      <c r="H162" s="125">
        <f t="shared" si="85"/>
        <v>0</v>
      </c>
      <c r="I162" s="126">
        <f t="shared" si="89"/>
        <v>5</v>
      </c>
      <c r="J162" s="116">
        <f t="shared" si="90"/>
        <v>6.4</v>
      </c>
      <c r="K162" s="117">
        <f t="shared" si="91"/>
        <v>6.4</v>
      </c>
      <c r="L162" s="116">
        <f t="shared" si="92"/>
        <v>6.4</v>
      </c>
      <c r="M162" s="116">
        <f t="shared" si="93"/>
        <v>0</v>
      </c>
      <c r="N162" s="126">
        <f t="shared" si="94"/>
        <v>5.6</v>
      </c>
      <c r="O162" s="116">
        <f t="shared" si="95"/>
        <v>6.4</v>
      </c>
      <c r="P162" s="126">
        <f t="shared" si="96"/>
        <v>6</v>
      </c>
      <c r="Q162" s="126">
        <f t="shared" si="97"/>
        <v>1.2000000000000002</v>
      </c>
      <c r="R162" s="127">
        <f>(2*ปร.4_1!$W$12)*B162</f>
        <v>0</v>
      </c>
      <c r="S162" s="127">
        <f>ปร.4_1!$Z$13*Soil!B162</f>
        <v>0</v>
      </c>
      <c r="T162" s="128">
        <f t="shared" si="98"/>
        <v>0</v>
      </c>
      <c r="U162" s="128">
        <f t="shared" si="99"/>
        <v>0</v>
      </c>
      <c r="V162" s="128">
        <f t="shared" si="100"/>
        <v>5</v>
      </c>
      <c r="W162" s="128">
        <f t="shared" si="101"/>
        <v>5.6</v>
      </c>
      <c r="X162" s="128">
        <f t="shared" si="102"/>
        <v>5.3</v>
      </c>
      <c r="Y162" s="128">
        <f t="shared" si="103"/>
        <v>0.79499999999999993</v>
      </c>
      <c r="Z162" s="129">
        <f t="shared" si="104"/>
        <v>0</v>
      </c>
      <c r="AA162" s="128">
        <f t="shared" si="105"/>
        <v>0</v>
      </c>
      <c r="AB162" s="130">
        <f t="shared" si="106"/>
        <v>0</v>
      </c>
      <c r="AC162" s="131">
        <f t="shared" si="107"/>
        <v>0</v>
      </c>
    </row>
    <row r="163" spans="1:29" hidden="1">
      <c r="A163" s="122">
        <f t="shared" si="86"/>
        <v>840</v>
      </c>
      <c r="B163" s="123">
        <v>0</v>
      </c>
      <c r="C163" s="113"/>
      <c r="D163" s="113"/>
      <c r="E163" s="124">
        <f t="shared" si="87"/>
        <v>0</v>
      </c>
      <c r="F163" s="124">
        <f t="shared" si="88"/>
        <v>0</v>
      </c>
      <c r="G163" s="125">
        <f t="shared" si="84"/>
        <v>5</v>
      </c>
      <c r="H163" s="125">
        <f t="shared" si="85"/>
        <v>0</v>
      </c>
      <c r="I163" s="126">
        <f t="shared" si="89"/>
        <v>5</v>
      </c>
      <c r="J163" s="116">
        <f t="shared" si="90"/>
        <v>6.4</v>
      </c>
      <c r="K163" s="117">
        <f t="shared" si="91"/>
        <v>6.4</v>
      </c>
      <c r="L163" s="116">
        <f t="shared" si="92"/>
        <v>6.4</v>
      </c>
      <c r="M163" s="116">
        <f t="shared" si="93"/>
        <v>0</v>
      </c>
      <c r="N163" s="126">
        <f t="shared" si="94"/>
        <v>5.6</v>
      </c>
      <c r="O163" s="116">
        <f t="shared" si="95"/>
        <v>6.4</v>
      </c>
      <c r="P163" s="126">
        <f t="shared" si="96"/>
        <v>6</v>
      </c>
      <c r="Q163" s="126">
        <f t="shared" si="97"/>
        <v>1.2000000000000002</v>
      </c>
      <c r="R163" s="127">
        <f>(2*ปร.4_1!$W$12)*B163</f>
        <v>0</v>
      </c>
      <c r="S163" s="127">
        <f>ปร.4_1!$Z$13*Soil!B163</f>
        <v>0</v>
      </c>
      <c r="T163" s="128">
        <f t="shared" si="98"/>
        <v>0</v>
      </c>
      <c r="U163" s="128">
        <f t="shared" si="99"/>
        <v>0</v>
      </c>
      <c r="V163" s="128">
        <f t="shared" si="100"/>
        <v>5</v>
      </c>
      <c r="W163" s="128">
        <f t="shared" si="101"/>
        <v>5.6</v>
      </c>
      <c r="X163" s="128">
        <f t="shared" si="102"/>
        <v>5.3</v>
      </c>
      <c r="Y163" s="128">
        <f t="shared" si="103"/>
        <v>0.79499999999999993</v>
      </c>
      <c r="Z163" s="129">
        <f t="shared" si="104"/>
        <v>0</v>
      </c>
      <c r="AA163" s="128">
        <f t="shared" si="105"/>
        <v>0</v>
      </c>
      <c r="AB163" s="130">
        <f t="shared" si="106"/>
        <v>0</v>
      </c>
      <c r="AC163" s="131">
        <f t="shared" si="107"/>
        <v>0</v>
      </c>
    </row>
    <row r="164" spans="1:29" hidden="1">
      <c r="A164" s="122">
        <f t="shared" si="86"/>
        <v>840</v>
      </c>
      <c r="B164" s="123">
        <v>0</v>
      </c>
      <c r="C164" s="113"/>
      <c r="D164" s="113"/>
      <c r="E164" s="124">
        <f t="shared" si="87"/>
        <v>0</v>
      </c>
      <c r="F164" s="124">
        <f t="shared" si="88"/>
        <v>0</v>
      </c>
      <c r="G164" s="125">
        <f t="shared" si="84"/>
        <v>5</v>
      </c>
      <c r="H164" s="125">
        <f t="shared" si="85"/>
        <v>0</v>
      </c>
      <c r="I164" s="126">
        <f t="shared" si="89"/>
        <v>5</v>
      </c>
      <c r="J164" s="116">
        <f t="shared" si="90"/>
        <v>6.4</v>
      </c>
      <c r="K164" s="117">
        <f t="shared" si="91"/>
        <v>6.4</v>
      </c>
      <c r="L164" s="116">
        <f t="shared" si="92"/>
        <v>6.4</v>
      </c>
      <c r="M164" s="116">
        <f t="shared" si="93"/>
        <v>0</v>
      </c>
      <c r="N164" s="126">
        <f t="shared" si="94"/>
        <v>5.6</v>
      </c>
      <c r="O164" s="116">
        <f t="shared" si="95"/>
        <v>6.4</v>
      </c>
      <c r="P164" s="126">
        <f t="shared" si="96"/>
        <v>6</v>
      </c>
      <c r="Q164" s="126">
        <f t="shared" si="97"/>
        <v>1.2000000000000002</v>
      </c>
      <c r="R164" s="127">
        <f>(2*ปร.4_1!$W$12)*B164</f>
        <v>0</v>
      </c>
      <c r="S164" s="127">
        <f>ปร.4_1!$Z$13*Soil!B164</f>
        <v>0</v>
      </c>
      <c r="T164" s="128">
        <f t="shared" si="98"/>
        <v>0</v>
      </c>
      <c r="U164" s="128">
        <f t="shared" si="99"/>
        <v>0</v>
      </c>
      <c r="V164" s="128">
        <f t="shared" si="100"/>
        <v>5</v>
      </c>
      <c r="W164" s="128">
        <f t="shared" si="101"/>
        <v>5.6</v>
      </c>
      <c r="X164" s="128">
        <f t="shared" si="102"/>
        <v>5.3</v>
      </c>
      <c r="Y164" s="128">
        <f t="shared" si="103"/>
        <v>0.79499999999999993</v>
      </c>
      <c r="Z164" s="129">
        <f t="shared" si="104"/>
        <v>0</v>
      </c>
      <c r="AA164" s="128">
        <f t="shared" si="105"/>
        <v>0</v>
      </c>
      <c r="AB164" s="130">
        <f t="shared" si="106"/>
        <v>0</v>
      </c>
      <c r="AC164" s="131">
        <f t="shared" si="107"/>
        <v>0</v>
      </c>
    </row>
    <row r="165" spans="1:29" hidden="1">
      <c r="A165" s="122">
        <f t="shared" si="86"/>
        <v>840</v>
      </c>
      <c r="B165" s="123">
        <v>0</v>
      </c>
      <c r="C165" s="113"/>
      <c r="D165" s="113"/>
      <c r="E165" s="124">
        <f t="shared" si="87"/>
        <v>0</v>
      </c>
      <c r="F165" s="124">
        <f t="shared" si="88"/>
        <v>0</v>
      </c>
      <c r="G165" s="125">
        <f t="shared" si="84"/>
        <v>5</v>
      </c>
      <c r="H165" s="125">
        <f t="shared" si="85"/>
        <v>0</v>
      </c>
      <c r="I165" s="126">
        <f t="shared" si="89"/>
        <v>5</v>
      </c>
      <c r="J165" s="116">
        <f t="shared" si="90"/>
        <v>6.4</v>
      </c>
      <c r="K165" s="117">
        <f t="shared" si="91"/>
        <v>6.4</v>
      </c>
      <c r="L165" s="116">
        <f t="shared" si="92"/>
        <v>6.4</v>
      </c>
      <c r="M165" s="116">
        <f t="shared" si="93"/>
        <v>0</v>
      </c>
      <c r="N165" s="126">
        <f t="shared" si="94"/>
        <v>5.6</v>
      </c>
      <c r="O165" s="116">
        <f t="shared" si="95"/>
        <v>6.4</v>
      </c>
      <c r="P165" s="126">
        <f t="shared" si="96"/>
        <v>6</v>
      </c>
      <c r="Q165" s="126">
        <f t="shared" si="97"/>
        <v>1.2000000000000002</v>
      </c>
      <c r="R165" s="127">
        <f>(2*ปร.4_1!$W$12)*B165</f>
        <v>0</v>
      </c>
      <c r="S165" s="127">
        <f>ปร.4_1!$Z$13*Soil!B165</f>
        <v>0</v>
      </c>
      <c r="T165" s="128">
        <f t="shared" si="98"/>
        <v>0</v>
      </c>
      <c r="U165" s="128">
        <f t="shared" si="99"/>
        <v>0</v>
      </c>
      <c r="V165" s="128">
        <f t="shared" si="100"/>
        <v>5</v>
      </c>
      <c r="W165" s="128">
        <f t="shared" si="101"/>
        <v>5.6</v>
      </c>
      <c r="X165" s="128">
        <f t="shared" si="102"/>
        <v>5.3</v>
      </c>
      <c r="Y165" s="128">
        <f t="shared" si="103"/>
        <v>0.79499999999999993</v>
      </c>
      <c r="Z165" s="129">
        <f t="shared" si="104"/>
        <v>0</v>
      </c>
      <c r="AA165" s="128">
        <f t="shared" si="105"/>
        <v>0</v>
      </c>
      <c r="AB165" s="130">
        <f t="shared" si="106"/>
        <v>0</v>
      </c>
      <c r="AC165" s="131">
        <f t="shared" si="107"/>
        <v>0</v>
      </c>
    </row>
    <row r="166" spans="1:29" hidden="1">
      <c r="A166" s="122">
        <f t="shared" si="86"/>
        <v>840</v>
      </c>
      <c r="B166" s="123">
        <v>0</v>
      </c>
      <c r="C166" s="113"/>
      <c r="D166" s="113"/>
      <c r="E166" s="124">
        <f t="shared" si="87"/>
        <v>0</v>
      </c>
      <c r="F166" s="124">
        <f t="shared" si="88"/>
        <v>0</v>
      </c>
      <c r="G166" s="125">
        <f t="shared" si="84"/>
        <v>5</v>
      </c>
      <c r="H166" s="125">
        <f t="shared" si="85"/>
        <v>0</v>
      </c>
      <c r="I166" s="126">
        <f t="shared" si="89"/>
        <v>5</v>
      </c>
      <c r="J166" s="116">
        <f t="shared" si="90"/>
        <v>6.4</v>
      </c>
      <c r="K166" s="117">
        <f t="shared" si="91"/>
        <v>6.4</v>
      </c>
      <c r="L166" s="116">
        <f t="shared" si="92"/>
        <v>6.4</v>
      </c>
      <c r="M166" s="116">
        <f t="shared" si="93"/>
        <v>0</v>
      </c>
      <c r="N166" s="126">
        <f t="shared" si="94"/>
        <v>5.6</v>
      </c>
      <c r="O166" s="116">
        <f t="shared" si="95"/>
        <v>6.4</v>
      </c>
      <c r="P166" s="126">
        <f t="shared" si="96"/>
        <v>6</v>
      </c>
      <c r="Q166" s="126">
        <f t="shared" si="97"/>
        <v>1.2000000000000002</v>
      </c>
      <c r="R166" s="127">
        <f>(2*ปร.4_1!$W$12)*B166</f>
        <v>0</v>
      </c>
      <c r="S166" s="127">
        <f>ปร.4_1!$Z$13*Soil!B166</f>
        <v>0</v>
      </c>
      <c r="T166" s="128">
        <f t="shared" si="98"/>
        <v>0</v>
      </c>
      <c r="U166" s="128">
        <f t="shared" si="99"/>
        <v>0</v>
      </c>
      <c r="V166" s="128">
        <f t="shared" si="100"/>
        <v>5</v>
      </c>
      <c r="W166" s="128">
        <f t="shared" si="101"/>
        <v>5.6</v>
      </c>
      <c r="X166" s="128">
        <f t="shared" si="102"/>
        <v>5.3</v>
      </c>
      <c r="Y166" s="128">
        <f t="shared" si="103"/>
        <v>0.79499999999999993</v>
      </c>
      <c r="Z166" s="129">
        <f t="shared" si="104"/>
        <v>0</v>
      </c>
      <c r="AA166" s="128">
        <f t="shared" si="105"/>
        <v>0</v>
      </c>
      <c r="AB166" s="130">
        <f t="shared" si="106"/>
        <v>0</v>
      </c>
      <c r="AC166" s="131">
        <f t="shared" si="107"/>
        <v>0</v>
      </c>
    </row>
    <row r="167" spans="1:29" hidden="1">
      <c r="A167" s="122">
        <f t="shared" ref="A167:A207" si="108">A166+B167</f>
        <v>840</v>
      </c>
      <c r="B167" s="123">
        <v>0</v>
      </c>
      <c r="C167" s="113"/>
      <c r="D167" s="113"/>
      <c r="E167" s="124">
        <f t="shared" ref="E167:E206" si="109">(C166+C167)/2*B167</f>
        <v>0</v>
      </c>
      <c r="F167" s="124">
        <f t="shared" ref="F167:F206" si="110">+(D166+D167)/2*B167</f>
        <v>0</v>
      </c>
      <c r="G167" s="125">
        <f t="shared" si="84"/>
        <v>5</v>
      </c>
      <c r="H167" s="125">
        <f t="shared" si="85"/>
        <v>0</v>
      </c>
      <c r="I167" s="126">
        <f t="shared" ref="I167:I206" si="111">+G167+2*H167</f>
        <v>5</v>
      </c>
      <c r="J167" s="116">
        <f t="shared" ref="J167:J206" si="112">IF(I167=0,0,I167+2*($I$3+I$4)/(1/$I$1))</f>
        <v>6.4</v>
      </c>
      <c r="K167" s="117">
        <f t="shared" ref="K167:K206" si="113">IF(I167=0,0,I167+2*($I$2+$I$3+$I$4)/(1/$I$1))</f>
        <v>6.4</v>
      </c>
      <c r="L167" s="116">
        <f t="shared" ref="L167:L206" si="114">(J167+K167)/2</f>
        <v>6.4</v>
      </c>
      <c r="M167" s="116">
        <f t="shared" ref="M167:M206" si="115">L167*$I$2</f>
        <v>0</v>
      </c>
      <c r="N167" s="126">
        <f t="shared" ref="N167:N206" si="116">IF(I167=0,0,I167+2*$I$4/(1/$I$1))</f>
        <v>5.6</v>
      </c>
      <c r="O167" s="116">
        <f t="shared" ref="O167:O206" si="117">IF(I167=0,0,I167+2*($I$3+$I$4)/(1/$I$1))</f>
        <v>6.4</v>
      </c>
      <c r="P167" s="126">
        <f t="shared" ref="P167:P206" si="118">+(N167+O167)/2</f>
        <v>6</v>
      </c>
      <c r="Q167" s="126">
        <f t="shared" ref="Q167:Q206" si="119">+P167*$I$3</f>
        <v>1.2000000000000002</v>
      </c>
      <c r="R167" s="127">
        <f>(2*ปร.4_1!$W$12)*B167</f>
        <v>0</v>
      </c>
      <c r="S167" s="127">
        <f>ปร.4_1!$Z$13*Soil!B167</f>
        <v>0</v>
      </c>
      <c r="T167" s="128">
        <f t="shared" ref="T167:T206" si="120">IF(G167=0,0,(M167+M166)/2*B167)</f>
        <v>0</v>
      </c>
      <c r="U167" s="128">
        <f t="shared" ref="U167:U206" si="121">IF(G167=0,0,(Q167+Q166)/2*B167)</f>
        <v>0</v>
      </c>
      <c r="V167" s="128">
        <f t="shared" ref="V167:V206" si="122">+I167</f>
        <v>5</v>
      </c>
      <c r="W167" s="128">
        <f t="shared" ref="W167:W206" si="123">N167</f>
        <v>5.6</v>
      </c>
      <c r="X167" s="128">
        <f t="shared" ref="X167:X206" si="124">+(V167+W167)/2</f>
        <v>5.3</v>
      </c>
      <c r="Y167" s="128">
        <f t="shared" ref="Y167:Y206" si="125">+X167*$I$4</f>
        <v>0.79499999999999993</v>
      </c>
      <c r="Z167" s="129">
        <f t="shared" ref="Z167:Z206" si="126">IF(G167=0,0,(Y167+Y166)/2*B167)</f>
        <v>0</v>
      </c>
      <c r="AA167" s="128">
        <f t="shared" ref="AA167:AA206" si="127">IF(G167=0,0,(G166+G167)/2*B167)</f>
        <v>0</v>
      </c>
      <c r="AB167" s="130">
        <f t="shared" ref="AB167:AB206" si="128">IF(G167=0,0,(2*H166+2*H167)/2*B167)</f>
        <v>0</v>
      </c>
      <c r="AC167" s="131">
        <f t="shared" ref="AC167:AC206" si="129">IF(G167&gt;0,B167,0)</f>
        <v>0</v>
      </c>
    </row>
    <row r="168" spans="1:29" hidden="1">
      <c r="A168" s="122">
        <f t="shared" si="108"/>
        <v>840</v>
      </c>
      <c r="B168" s="123">
        <v>0</v>
      </c>
      <c r="C168" s="113"/>
      <c r="D168" s="113"/>
      <c r="E168" s="124">
        <f t="shared" si="109"/>
        <v>0</v>
      </c>
      <c r="F168" s="124">
        <f t="shared" si="110"/>
        <v>0</v>
      </c>
      <c r="G168" s="125">
        <f t="shared" si="84"/>
        <v>5</v>
      </c>
      <c r="H168" s="125">
        <f t="shared" si="85"/>
        <v>0</v>
      </c>
      <c r="I168" s="126">
        <f t="shared" si="111"/>
        <v>5</v>
      </c>
      <c r="J168" s="116">
        <f t="shared" si="112"/>
        <v>6.4</v>
      </c>
      <c r="K168" s="117">
        <f t="shared" si="113"/>
        <v>6.4</v>
      </c>
      <c r="L168" s="116">
        <f t="shared" si="114"/>
        <v>6.4</v>
      </c>
      <c r="M168" s="116">
        <f t="shared" si="115"/>
        <v>0</v>
      </c>
      <c r="N168" s="126">
        <f t="shared" si="116"/>
        <v>5.6</v>
      </c>
      <c r="O168" s="116">
        <f t="shared" si="117"/>
        <v>6.4</v>
      </c>
      <c r="P168" s="126">
        <f t="shared" si="118"/>
        <v>6</v>
      </c>
      <c r="Q168" s="126">
        <f t="shared" si="119"/>
        <v>1.2000000000000002</v>
      </c>
      <c r="R168" s="127">
        <f>(2*ปร.4_1!$W$12)*B168</f>
        <v>0</v>
      </c>
      <c r="S168" s="127">
        <f>ปร.4_1!$Z$13*Soil!B168</f>
        <v>0</v>
      </c>
      <c r="T168" s="128">
        <f t="shared" si="120"/>
        <v>0</v>
      </c>
      <c r="U168" s="128">
        <f t="shared" si="121"/>
        <v>0</v>
      </c>
      <c r="V168" s="128">
        <f t="shared" si="122"/>
        <v>5</v>
      </c>
      <c r="W168" s="128">
        <f t="shared" si="123"/>
        <v>5.6</v>
      </c>
      <c r="X168" s="128">
        <f t="shared" si="124"/>
        <v>5.3</v>
      </c>
      <c r="Y168" s="128">
        <f t="shared" si="125"/>
        <v>0.79499999999999993</v>
      </c>
      <c r="Z168" s="129">
        <f t="shared" si="126"/>
        <v>0</v>
      </c>
      <c r="AA168" s="128">
        <f t="shared" si="127"/>
        <v>0</v>
      </c>
      <c r="AB168" s="130">
        <f t="shared" si="128"/>
        <v>0</v>
      </c>
      <c r="AC168" s="131">
        <f t="shared" si="129"/>
        <v>0</v>
      </c>
    </row>
    <row r="169" spans="1:29" hidden="1">
      <c r="A169" s="122">
        <f t="shared" si="108"/>
        <v>840</v>
      </c>
      <c r="B169" s="123">
        <v>0</v>
      </c>
      <c r="C169" s="113"/>
      <c r="D169" s="113"/>
      <c r="E169" s="124">
        <f t="shared" si="109"/>
        <v>0</v>
      </c>
      <c r="F169" s="124">
        <f t="shared" si="110"/>
        <v>0</v>
      </c>
      <c r="G169" s="125">
        <f t="shared" si="84"/>
        <v>5</v>
      </c>
      <c r="H169" s="125">
        <f t="shared" si="85"/>
        <v>0</v>
      </c>
      <c r="I169" s="126">
        <f t="shared" si="111"/>
        <v>5</v>
      </c>
      <c r="J169" s="116">
        <f t="shared" si="112"/>
        <v>6.4</v>
      </c>
      <c r="K169" s="117">
        <f t="shared" si="113"/>
        <v>6.4</v>
      </c>
      <c r="L169" s="116">
        <f t="shared" si="114"/>
        <v>6.4</v>
      </c>
      <c r="M169" s="116">
        <f t="shared" si="115"/>
        <v>0</v>
      </c>
      <c r="N169" s="126">
        <f t="shared" si="116"/>
        <v>5.6</v>
      </c>
      <c r="O169" s="116">
        <f t="shared" si="117"/>
        <v>6.4</v>
      </c>
      <c r="P169" s="126">
        <f t="shared" si="118"/>
        <v>6</v>
      </c>
      <c r="Q169" s="126">
        <f t="shared" si="119"/>
        <v>1.2000000000000002</v>
      </c>
      <c r="R169" s="127">
        <f>(2*ปร.4_1!$W$12)*B169</f>
        <v>0</v>
      </c>
      <c r="S169" s="127">
        <f>ปร.4_1!$Z$13*Soil!B169</f>
        <v>0</v>
      </c>
      <c r="T169" s="128">
        <f t="shared" si="120"/>
        <v>0</v>
      </c>
      <c r="U169" s="128">
        <f t="shared" si="121"/>
        <v>0</v>
      </c>
      <c r="V169" s="128">
        <f t="shared" si="122"/>
        <v>5</v>
      </c>
      <c r="W169" s="128">
        <f t="shared" si="123"/>
        <v>5.6</v>
      </c>
      <c r="X169" s="128">
        <f t="shared" si="124"/>
        <v>5.3</v>
      </c>
      <c r="Y169" s="128">
        <f t="shared" si="125"/>
        <v>0.79499999999999993</v>
      </c>
      <c r="Z169" s="129">
        <f t="shared" si="126"/>
        <v>0</v>
      </c>
      <c r="AA169" s="128">
        <f t="shared" si="127"/>
        <v>0</v>
      </c>
      <c r="AB169" s="130">
        <f t="shared" si="128"/>
        <v>0</v>
      </c>
      <c r="AC169" s="131">
        <f t="shared" si="129"/>
        <v>0</v>
      </c>
    </row>
    <row r="170" spans="1:29" hidden="1">
      <c r="A170" s="122">
        <f t="shared" si="108"/>
        <v>840</v>
      </c>
      <c r="B170" s="123">
        <v>0</v>
      </c>
      <c r="C170" s="113"/>
      <c r="D170" s="113"/>
      <c r="E170" s="124">
        <f t="shared" si="109"/>
        <v>0</v>
      </c>
      <c r="F170" s="124">
        <f t="shared" si="110"/>
        <v>0</v>
      </c>
      <c r="G170" s="125">
        <f t="shared" si="84"/>
        <v>5</v>
      </c>
      <c r="H170" s="125">
        <f t="shared" si="85"/>
        <v>0</v>
      </c>
      <c r="I170" s="126">
        <f t="shared" si="111"/>
        <v>5</v>
      </c>
      <c r="J170" s="116">
        <f t="shared" si="112"/>
        <v>6.4</v>
      </c>
      <c r="K170" s="117">
        <f t="shared" si="113"/>
        <v>6.4</v>
      </c>
      <c r="L170" s="116">
        <f t="shared" si="114"/>
        <v>6.4</v>
      </c>
      <c r="M170" s="116">
        <f t="shared" si="115"/>
        <v>0</v>
      </c>
      <c r="N170" s="126">
        <f t="shared" si="116"/>
        <v>5.6</v>
      </c>
      <c r="O170" s="116">
        <f t="shared" si="117"/>
        <v>6.4</v>
      </c>
      <c r="P170" s="126">
        <f t="shared" si="118"/>
        <v>6</v>
      </c>
      <c r="Q170" s="126">
        <f t="shared" si="119"/>
        <v>1.2000000000000002</v>
      </c>
      <c r="R170" s="127">
        <f>(2*ปร.4_1!$W$12)*B170</f>
        <v>0</v>
      </c>
      <c r="S170" s="127">
        <f>ปร.4_1!$Z$13*Soil!B170</f>
        <v>0</v>
      </c>
      <c r="T170" s="128">
        <f t="shared" si="120"/>
        <v>0</v>
      </c>
      <c r="U170" s="128">
        <f t="shared" si="121"/>
        <v>0</v>
      </c>
      <c r="V170" s="128">
        <f t="shared" si="122"/>
        <v>5</v>
      </c>
      <c r="W170" s="128">
        <f t="shared" si="123"/>
        <v>5.6</v>
      </c>
      <c r="X170" s="128">
        <f t="shared" si="124"/>
        <v>5.3</v>
      </c>
      <c r="Y170" s="128">
        <f t="shared" si="125"/>
        <v>0.79499999999999993</v>
      </c>
      <c r="Z170" s="129">
        <f t="shared" si="126"/>
        <v>0</v>
      </c>
      <c r="AA170" s="128">
        <f t="shared" si="127"/>
        <v>0</v>
      </c>
      <c r="AB170" s="130">
        <f t="shared" si="128"/>
        <v>0</v>
      </c>
      <c r="AC170" s="131">
        <f t="shared" si="129"/>
        <v>0</v>
      </c>
    </row>
    <row r="171" spans="1:29" hidden="1">
      <c r="A171" s="122">
        <f t="shared" si="108"/>
        <v>840</v>
      </c>
      <c r="B171" s="123">
        <v>0</v>
      </c>
      <c r="C171" s="113"/>
      <c r="D171" s="113"/>
      <c r="E171" s="124">
        <f t="shared" si="109"/>
        <v>0</v>
      </c>
      <c r="F171" s="124">
        <f t="shared" si="110"/>
        <v>0</v>
      </c>
      <c r="G171" s="125">
        <f t="shared" si="84"/>
        <v>5</v>
      </c>
      <c r="H171" s="125">
        <f t="shared" si="85"/>
        <v>0</v>
      </c>
      <c r="I171" s="126">
        <f t="shared" si="111"/>
        <v>5</v>
      </c>
      <c r="J171" s="116">
        <f t="shared" si="112"/>
        <v>6.4</v>
      </c>
      <c r="K171" s="117">
        <f t="shared" si="113"/>
        <v>6.4</v>
      </c>
      <c r="L171" s="116">
        <f t="shared" si="114"/>
        <v>6.4</v>
      </c>
      <c r="M171" s="116">
        <f t="shared" si="115"/>
        <v>0</v>
      </c>
      <c r="N171" s="126">
        <f t="shared" si="116"/>
        <v>5.6</v>
      </c>
      <c r="O171" s="116">
        <f t="shared" si="117"/>
        <v>6.4</v>
      </c>
      <c r="P171" s="126">
        <f t="shared" si="118"/>
        <v>6</v>
      </c>
      <c r="Q171" s="126">
        <f t="shared" si="119"/>
        <v>1.2000000000000002</v>
      </c>
      <c r="R171" s="127">
        <f>(2*ปร.4_1!$W$12)*B171</f>
        <v>0</v>
      </c>
      <c r="S171" s="127">
        <f>ปร.4_1!$Z$13*Soil!B171</f>
        <v>0</v>
      </c>
      <c r="T171" s="128">
        <f t="shared" si="120"/>
        <v>0</v>
      </c>
      <c r="U171" s="128">
        <f t="shared" si="121"/>
        <v>0</v>
      </c>
      <c r="V171" s="128">
        <f t="shared" si="122"/>
        <v>5</v>
      </c>
      <c r="W171" s="128">
        <f t="shared" si="123"/>
        <v>5.6</v>
      </c>
      <c r="X171" s="128">
        <f t="shared" si="124"/>
        <v>5.3</v>
      </c>
      <c r="Y171" s="128">
        <f t="shared" si="125"/>
        <v>0.79499999999999993</v>
      </c>
      <c r="Z171" s="129">
        <f t="shared" si="126"/>
        <v>0</v>
      </c>
      <c r="AA171" s="128">
        <f t="shared" si="127"/>
        <v>0</v>
      </c>
      <c r="AB171" s="130">
        <f t="shared" si="128"/>
        <v>0</v>
      </c>
      <c r="AC171" s="131">
        <f t="shared" si="129"/>
        <v>0</v>
      </c>
    </row>
    <row r="172" spans="1:29" hidden="1">
      <c r="A172" s="122">
        <f t="shared" si="108"/>
        <v>840</v>
      </c>
      <c r="B172" s="123">
        <v>0</v>
      </c>
      <c r="C172" s="113"/>
      <c r="D172" s="113"/>
      <c r="E172" s="124">
        <f t="shared" si="109"/>
        <v>0</v>
      </c>
      <c r="F172" s="124">
        <f t="shared" si="110"/>
        <v>0</v>
      </c>
      <c r="G172" s="125">
        <f t="shared" si="84"/>
        <v>5</v>
      </c>
      <c r="H172" s="125">
        <f t="shared" si="85"/>
        <v>0</v>
      </c>
      <c r="I172" s="126">
        <f t="shared" si="111"/>
        <v>5</v>
      </c>
      <c r="J172" s="116">
        <f t="shared" si="112"/>
        <v>6.4</v>
      </c>
      <c r="K172" s="117">
        <f t="shared" si="113"/>
        <v>6.4</v>
      </c>
      <c r="L172" s="116">
        <f t="shared" si="114"/>
        <v>6.4</v>
      </c>
      <c r="M172" s="116">
        <f t="shared" si="115"/>
        <v>0</v>
      </c>
      <c r="N172" s="126">
        <f t="shared" si="116"/>
        <v>5.6</v>
      </c>
      <c r="O172" s="116">
        <f t="shared" si="117"/>
        <v>6.4</v>
      </c>
      <c r="P172" s="126">
        <f t="shared" si="118"/>
        <v>6</v>
      </c>
      <c r="Q172" s="126">
        <f t="shared" si="119"/>
        <v>1.2000000000000002</v>
      </c>
      <c r="R172" s="127">
        <f>(2*ปร.4_1!$W$12)*B172</f>
        <v>0</v>
      </c>
      <c r="S172" s="127">
        <f>ปร.4_1!$Z$13*Soil!B172</f>
        <v>0</v>
      </c>
      <c r="T172" s="128">
        <f t="shared" si="120"/>
        <v>0</v>
      </c>
      <c r="U172" s="128">
        <f t="shared" si="121"/>
        <v>0</v>
      </c>
      <c r="V172" s="128">
        <f t="shared" si="122"/>
        <v>5</v>
      </c>
      <c r="W172" s="128">
        <f t="shared" si="123"/>
        <v>5.6</v>
      </c>
      <c r="X172" s="128">
        <f t="shared" si="124"/>
        <v>5.3</v>
      </c>
      <c r="Y172" s="128">
        <f t="shared" si="125"/>
        <v>0.79499999999999993</v>
      </c>
      <c r="Z172" s="129">
        <f t="shared" si="126"/>
        <v>0</v>
      </c>
      <c r="AA172" s="128">
        <f t="shared" si="127"/>
        <v>0</v>
      </c>
      <c r="AB172" s="130">
        <f t="shared" si="128"/>
        <v>0</v>
      </c>
      <c r="AC172" s="131">
        <f t="shared" si="129"/>
        <v>0</v>
      </c>
    </row>
    <row r="173" spans="1:29" hidden="1">
      <c r="A173" s="122">
        <f t="shared" si="108"/>
        <v>840</v>
      </c>
      <c r="B173" s="123">
        <v>0</v>
      </c>
      <c r="C173" s="113"/>
      <c r="D173" s="113"/>
      <c r="E173" s="124">
        <f t="shared" si="109"/>
        <v>0</v>
      </c>
      <c r="F173" s="124">
        <f t="shared" si="110"/>
        <v>0</v>
      </c>
      <c r="G173" s="125">
        <f t="shared" si="84"/>
        <v>5</v>
      </c>
      <c r="H173" s="125">
        <f t="shared" si="85"/>
        <v>0</v>
      </c>
      <c r="I173" s="126">
        <f t="shared" si="111"/>
        <v>5</v>
      </c>
      <c r="J173" s="116">
        <f t="shared" si="112"/>
        <v>6.4</v>
      </c>
      <c r="K173" s="117">
        <f t="shared" si="113"/>
        <v>6.4</v>
      </c>
      <c r="L173" s="116">
        <f t="shared" si="114"/>
        <v>6.4</v>
      </c>
      <c r="M173" s="116">
        <f t="shared" si="115"/>
        <v>0</v>
      </c>
      <c r="N173" s="126">
        <f t="shared" si="116"/>
        <v>5.6</v>
      </c>
      <c r="O173" s="116">
        <f t="shared" si="117"/>
        <v>6.4</v>
      </c>
      <c r="P173" s="126">
        <f t="shared" si="118"/>
        <v>6</v>
      </c>
      <c r="Q173" s="126">
        <f t="shared" si="119"/>
        <v>1.2000000000000002</v>
      </c>
      <c r="R173" s="127">
        <f>(2*ปร.4_1!$W$12)*B173</f>
        <v>0</v>
      </c>
      <c r="S173" s="127">
        <f>ปร.4_1!$Z$13*Soil!B173</f>
        <v>0</v>
      </c>
      <c r="T173" s="128">
        <f t="shared" si="120"/>
        <v>0</v>
      </c>
      <c r="U173" s="128">
        <f t="shared" si="121"/>
        <v>0</v>
      </c>
      <c r="V173" s="128">
        <f t="shared" si="122"/>
        <v>5</v>
      </c>
      <c r="W173" s="128">
        <f t="shared" si="123"/>
        <v>5.6</v>
      </c>
      <c r="X173" s="128">
        <f t="shared" si="124"/>
        <v>5.3</v>
      </c>
      <c r="Y173" s="128">
        <f t="shared" si="125"/>
        <v>0.79499999999999993</v>
      </c>
      <c r="Z173" s="129">
        <f t="shared" si="126"/>
        <v>0</v>
      </c>
      <c r="AA173" s="128">
        <f t="shared" si="127"/>
        <v>0</v>
      </c>
      <c r="AB173" s="130">
        <f t="shared" si="128"/>
        <v>0</v>
      </c>
      <c r="AC173" s="131">
        <f t="shared" si="129"/>
        <v>0</v>
      </c>
    </row>
    <row r="174" spans="1:29" hidden="1">
      <c r="A174" s="122">
        <f t="shared" si="108"/>
        <v>840</v>
      </c>
      <c r="B174" s="123">
        <v>0</v>
      </c>
      <c r="C174" s="113"/>
      <c r="D174" s="113"/>
      <c r="E174" s="124">
        <f t="shared" si="109"/>
        <v>0</v>
      </c>
      <c r="F174" s="124">
        <f t="shared" si="110"/>
        <v>0</v>
      </c>
      <c r="G174" s="125">
        <f t="shared" si="84"/>
        <v>5</v>
      </c>
      <c r="H174" s="125">
        <f t="shared" si="85"/>
        <v>0</v>
      </c>
      <c r="I174" s="126">
        <f t="shared" si="111"/>
        <v>5</v>
      </c>
      <c r="J174" s="116">
        <f t="shared" si="112"/>
        <v>6.4</v>
      </c>
      <c r="K174" s="117">
        <f t="shared" si="113"/>
        <v>6.4</v>
      </c>
      <c r="L174" s="116">
        <f t="shared" si="114"/>
        <v>6.4</v>
      </c>
      <c r="M174" s="116">
        <f t="shared" si="115"/>
        <v>0</v>
      </c>
      <c r="N174" s="126">
        <f t="shared" si="116"/>
        <v>5.6</v>
      </c>
      <c r="O174" s="116">
        <f t="shared" si="117"/>
        <v>6.4</v>
      </c>
      <c r="P174" s="126">
        <f t="shared" si="118"/>
        <v>6</v>
      </c>
      <c r="Q174" s="126">
        <f t="shared" si="119"/>
        <v>1.2000000000000002</v>
      </c>
      <c r="R174" s="127">
        <f>(2*ปร.4_1!$W$12)*B174</f>
        <v>0</v>
      </c>
      <c r="S174" s="127">
        <f>ปร.4_1!$Z$13*Soil!B174</f>
        <v>0</v>
      </c>
      <c r="T174" s="128">
        <f t="shared" si="120"/>
        <v>0</v>
      </c>
      <c r="U174" s="128">
        <f t="shared" si="121"/>
        <v>0</v>
      </c>
      <c r="V174" s="128">
        <f t="shared" si="122"/>
        <v>5</v>
      </c>
      <c r="W174" s="128">
        <f t="shared" si="123"/>
        <v>5.6</v>
      </c>
      <c r="X174" s="128">
        <f t="shared" si="124"/>
        <v>5.3</v>
      </c>
      <c r="Y174" s="128">
        <f t="shared" si="125"/>
        <v>0.79499999999999993</v>
      </c>
      <c r="Z174" s="129">
        <f t="shared" si="126"/>
        <v>0</v>
      </c>
      <c r="AA174" s="128">
        <f t="shared" si="127"/>
        <v>0</v>
      </c>
      <c r="AB174" s="130">
        <f t="shared" si="128"/>
        <v>0</v>
      </c>
      <c r="AC174" s="131">
        <f t="shared" si="129"/>
        <v>0</v>
      </c>
    </row>
    <row r="175" spans="1:29" hidden="1">
      <c r="A175" s="122">
        <f t="shared" si="108"/>
        <v>840</v>
      </c>
      <c r="B175" s="123">
        <v>0</v>
      </c>
      <c r="C175" s="113"/>
      <c r="D175" s="113"/>
      <c r="E175" s="124">
        <f t="shared" si="109"/>
        <v>0</v>
      </c>
      <c r="F175" s="124">
        <f t="shared" si="110"/>
        <v>0</v>
      </c>
      <c r="G175" s="125">
        <f t="shared" si="84"/>
        <v>5</v>
      </c>
      <c r="H175" s="125">
        <f t="shared" si="85"/>
        <v>0</v>
      </c>
      <c r="I175" s="126">
        <f t="shared" si="111"/>
        <v>5</v>
      </c>
      <c r="J175" s="116">
        <f t="shared" si="112"/>
        <v>6.4</v>
      </c>
      <c r="K175" s="117">
        <f t="shared" si="113"/>
        <v>6.4</v>
      </c>
      <c r="L175" s="116">
        <f t="shared" si="114"/>
        <v>6.4</v>
      </c>
      <c r="M175" s="116">
        <f t="shared" si="115"/>
        <v>0</v>
      </c>
      <c r="N175" s="126">
        <f t="shared" si="116"/>
        <v>5.6</v>
      </c>
      <c r="O175" s="116">
        <f t="shared" si="117"/>
        <v>6.4</v>
      </c>
      <c r="P175" s="126">
        <f t="shared" si="118"/>
        <v>6</v>
      </c>
      <c r="Q175" s="126">
        <f t="shared" si="119"/>
        <v>1.2000000000000002</v>
      </c>
      <c r="R175" s="127">
        <f>(2*ปร.4_1!$W$12)*B175</f>
        <v>0</v>
      </c>
      <c r="S175" s="127">
        <f>ปร.4_1!$Z$13*Soil!B175</f>
        <v>0</v>
      </c>
      <c r="T175" s="128">
        <f t="shared" si="120"/>
        <v>0</v>
      </c>
      <c r="U175" s="128">
        <f t="shared" si="121"/>
        <v>0</v>
      </c>
      <c r="V175" s="128">
        <f t="shared" si="122"/>
        <v>5</v>
      </c>
      <c r="W175" s="128">
        <f t="shared" si="123"/>
        <v>5.6</v>
      </c>
      <c r="X175" s="128">
        <f t="shared" si="124"/>
        <v>5.3</v>
      </c>
      <c r="Y175" s="128">
        <f t="shared" si="125"/>
        <v>0.79499999999999993</v>
      </c>
      <c r="Z175" s="129">
        <f t="shared" si="126"/>
        <v>0</v>
      </c>
      <c r="AA175" s="128">
        <f t="shared" si="127"/>
        <v>0</v>
      </c>
      <c r="AB175" s="130">
        <f t="shared" si="128"/>
        <v>0</v>
      </c>
      <c r="AC175" s="131">
        <f t="shared" si="129"/>
        <v>0</v>
      </c>
    </row>
    <row r="176" spans="1:29" hidden="1">
      <c r="A176" s="122">
        <f t="shared" si="108"/>
        <v>840</v>
      </c>
      <c r="B176" s="123">
        <v>0</v>
      </c>
      <c r="C176" s="113"/>
      <c r="D176" s="113"/>
      <c r="E176" s="124">
        <f t="shared" si="109"/>
        <v>0</v>
      </c>
      <c r="F176" s="124">
        <f t="shared" si="110"/>
        <v>0</v>
      </c>
      <c r="G176" s="125">
        <f t="shared" si="84"/>
        <v>5</v>
      </c>
      <c r="H176" s="125">
        <f t="shared" si="85"/>
        <v>0</v>
      </c>
      <c r="I176" s="126">
        <f t="shared" si="111"/>
        <v>5</v>
      </c>
      <c r="J176" s="116">
        <f t="shared" si="112"/>
        <v>6.4</v>
      </c>
      <c r="K176" s="117">
        <f t="shared" si="113"/>
        <v>6.4</v>
      </c>
      <c r="L176" s="116">
        <f t="shared" si="114"/>
        <v>6.4</v>
      </c>
      <c r="M176" s="116">
        <f t="shared" si="115"/>
        <v>0</v>
      </c>
      <c r="N176" s="126">
        <f t="shared" si="116"/>
        <v>5.6</v>
      </c>
      <c r="O176" s="116">
        <f t="shared" si="117"/>
        <v>6.4</v>
      </c>
      <c r="P176" s="126">
        <f t="shared" si="118"/>
        <v>6</v>
      </c>
      <c r="Q176" s="126">
        <f t="shared" si="119"/>
        <v>1.2000000000000002</v>
      </c>
      <c r="R176" s="127">
        <f>(2*ปร.4_1!$W$12)*B176</f>
        <v>0</v>
      </c>
      <c r="S176" s="127">
        <f>ปร.4_1!$Z$13*Soil!B176</f>
        <v>0</v>
      </c>
      <c r="T176" s="128">
        <f t="shared" si="120"/>
        <v>0</v>
      </c>
      <c r="U176" s="128">
        <f t="shared" si="121"/>
        <v>0</v>
      </c>
      <c r="V176" s="128">
        <f t="shared" si="122"/>
        <v>5</v>
      </c>
      <c r="W176" s="128">
        <f t="shared" si="123"/>
        <v>5.6</v>
      </c>
      <c r="X176" s="128">
        <f t="shared" si="124"/>
        <v>5.3</v>
      </c>
      <c r="Y176" s="128">
        <f t="shared" si="125"/>
        <v>0.79499999999999993</v>
      </c>
      <c r="Z176" s="129">
        <f t="shared" si="126"/>
        <v>0</v>
      </c>
      <c r="AA176" s="128">
        <f t="shared" si="127"/>
        <v>0</v>
      </c>
      <c r="AB176" s="130">
        <f t="shared" si="128"/>
        <v>0</v>
      </c>
      <c r="AC176" s="131">
        <f t="shared" si="129"/>
        <v>0</v>
      </c>
    </row>
    <row r="177" spans="1:29" hidden="1">
      <c r="A177" s="122">
        <f t="shared" si="108"/>
        <v>840</v>
      </c>
      <c r="B177" s="123">
        <v>0</v>
      </c>
      <c r="C177" s="113"/>
      <c r="D177" s="113"/>
      <c r="E177" s="124">
        <f t="shared" si="109"/>
        <v>0</v>
      </c>
      <c r="F177" s="124">
        <f t="shared" si="110"/>
        <v>0</v>
      </c>
      <c r="G177" s="125">
        <f t="shared" ref="G177:G209" si="130">G176</f>
        <v>5</v>
      </c>
      <c r="H177" s="125">
        <f t="shared" ref="H177:H209" si="131">H176</f>
        <v>0</v>
      </c>
      <c r="I177" s="126">
        <f t="shared" si="111"/>
        <v>5</v>
      </c>
      <c r="J177" s="116">
        <f t="shared" si="112"/>
        <v>6.4</v>
      </c>
      <c r="K177" s="117">
        <f t="shared" si="113"/>
        <v>6.4</v>
      </c>
      <c r="L177" s="116">
        <f t="shared" si="114"/>
        <v>6.4</v>
      </c>
      <c r="M177" s="116">
        <f t="shared" si="115"/>
        <v>0</v>
      </c>
      <c r="N177" s="126">
        <f t="shared" si="116"/>
        <v>5.6</v>
      </c>
      <c r="O177" s="116">
        <f t="shared" si="117"/>
        <v>6.4</v>
      </c>
      <c r="P177" s="126">
        <f t="shared" si="118"/>
        <v>6</v>
      </c>
      <c r="Q177" s="126">
        <f t="shared" si="119"/>
        <v>1.2000000000000002</v>
      </c>
      <c r="R177" s="127">
        <f>(2*ปร.4_1!$W$12)*B177</f>
        <v>0</v>
      </c>
      <c r="S177" s="127">
        <f>ปร.4_1!$Z$13*Soil!B177</f>
        <v>0</v>
      </c>
      <c r="T177" s="128">
        <f t="shared" si="120"/>
        <v>0</v>
      </c>
      <c r="U177" s="128">
        <f t="shared" si="121"/>
        <v>0</v>
      </c>
      <c r="V177" s="128">
        <f t="shared" si="122"/>
        <v>5</v>
      </c>
      <c r="W177" s="128">
        <f t="shared" si="123"/>
        <v>5.6</v>
      </c>
      <c r="X177" s="128">
        <f t="shared" si="124"/>
        <v>5.3</v>
      </c>
      <c r="Y177" s="128">
        <f t="shared" si="125"/>
        <v>0.79499999999999993</v>
      </c>
      <c r="Z177" s="129">
        <f t="shared" si="126"/>
        <v>0</v>
      </c>
      <c r="AA177" s="128">
        <f t="shared" si="127"/>
        <v>0</v>
      </c>
      <c r="AB177" s="130">
        <f t="shared" si="128"/>
        <v>0</v>
      </c>
      <c r="AC177" s="131">
        <f t="shared" si="129"/>
        <v>0</v>
      </c>
    </row>
    <row r="178" spans="1:29" hidden="1">
      <c r="A178" s="122">
        <f t="shared" si="108"/>
        <v>840</v>
      </c>
      <c r="B178" s="123">
        <v>0</v>
      </c>
      <c r="C178" s="113"/>
      <c r="D178" s="113"/>
      <c r="E178" s="124">
        <f t="shared" si="109"/>
        <v>0</v>
      </c>
      <c r="F178" s="124">
        <f t="shared" si="110"/>
        <v>0</v>
      </c>
      <c r="G178" s="125">
        <f t="shared" si="130"/>
        <v>5</v>
      </c>
      <c r="H178" s="125">
        <f t="shared" si="131"/>
        <v>0</v>
      </c>
      <c r="I178" s="126">
        <f t="shared" si="111"/>
        <v>5</v>
      </c>
      <c r="J178" s="116">
        <f t="shared" si="112"/>
        <v>6.4</v>
      </c>
      <c r="K178" s="117">
        <f t="shared" si="113"/>
        <v>6.4</v>
      </c>
      <c r="L178" s="116">
        <f t="shared" si="114"/>
        <v>6.4</v>
      </c>
      <c r="M178" s="116">
        <f t="shared" si="115"/>
        <v>0</v>
      </c>
      <c r="N178" s="126">
        <f t="shared" si="116"/>
        <v>5.6</v>
      </c>
      <c r="O178" s="116">
        <f t="shared" si="117"/>
        <v>6.4</v>
      </c>
      <c r="P178" s="126">
        <f t="shared" si="118"/>
        <v>6</v>
      </c>
      <c r="Q178" s="126">
        <f t="shared" si="119"/>
        <v>1.2000000000000002</v>
      </c>
      <c r="R178" s="127">
        <f>(2*ปร.4_1!$W$12)*B178</f>
        <v>0</v>
      </c>
      <c r="S178" s="127">
        <f>ปร.4_1!$Z$13*Soil!B178</f>
        <v>0</v>
      </c>
      <c r="T178" s="128">
        <f t="shared" si="120"/>
        <v>0</v>
      </c>
      <c r="U178" s="128">
        <f t="shared" si="121"/>
        <v>0</v>
      </c>
      <c r="V178" s="128">
        <f t="shared" si="122"/>
        <v>5</v>
      </c>
      <c r="W178" s="128">
        <f t="shared" si="123"/>
        <v>5.6</v>
      </c>
      <c r="X178" s="128">
        <f t="shared" si="124"/>
        <v>5.3</v>
      </c>
      <c r="Y178" s="128">
        <f t="shared" si="125"/>
        <v>0.79499999999999993</v>
      </c>
      <c r="Z178" s="129">
        <f t="shared" si="126"/>
        <v>0</v>
      </c>
      <c r="AA178" s="128">
        <f t="shared" si="127"/>
        <v>0</v>
      </c>
      <c r="AB178" s="130">
        <f t="shared" si="128"/>
        <v>0</v>
      </c>
      <c r="AC178" s="131">
        <f t="shared" si="129"/>
        <v>0</v>
      </c>
    </row>
    <row r="179" spans="1:29" hidden="1">
      <c r="A179" s="122">
        <f t="shared" si="108"/>
        <v>840</v>
      </c>
      <c r="B179" s="123">
        <v>0</v>
      </c>
      <c r="C179" s="113"/>
      <c r="D179" s="113"/>
      <c r="E179" s="124">
        <f t="shared" si="109"/>
        <v>0</v>
      </c>
      <c r="F179" s="124">
        <f t="shared" si="110"/>
        <v>0</v>
      </c>
      <c r="G179" s="125">
        <f t="shared" si="130"/>
        <v>5</v>
      </c>
      <c r="H179" s="125">
        <f t="shared" si="131"/>
        <v>0</v>
      </c>
      <c r="I179" s="126">
        <f t="shared" si="111"/>
        <v>5</v>
      </c>
      <c r="J179" s="116">
        <f t="shared" si="112"/>
        <v>6.4</v>
      </c>
      <c r="K179" s="117">
        <f t="shared" si="113"/>
        <v>6.4</v>
      </c>
      <c r="L179" s="116">
        <f t="shared" si="114"/>
        <v>6.4</v>
      </c>
      <c r="M179" s="116">
        <f t="shared" si="115"/>
        <v>0</v>
      </c>
      <c r="N179" s="126">
        <f t="shared" si="116"/>
        <v>5.6</v>
      </c>
      <c r="O179" s="116">
        <f t="shared" si="117"/>
        <v>6.4</v>
      </c>
      <c r="P179" s="126">
        <f t="shared" si="118"/>
        <v>6</v>
      </c>
      <c r="Q179" s="126">
        <f t="shared" si="119"/>
        <v>1.2000000000000002</v>
      </c>
      <c r="R179" s="127">
        <f>(2*ปร.4_1!$W$12)*B179</f>
        <v>0</v>
      </c>
      <c r="S179" s="127">
        <f>ปร.4_1!$Z$13*Soil!B179</f>
        <v>0</v>
      </c>
      <c r="T179" s="128">
        <f t="shared" si="120"/>
        <v>0</v>
      </c>
      <c r="U179" s="128">
        <f t="shared" si="121"/>
        <v>0</v>
      </c>
      <c r="V179" s="128">
        <f t="shared" si="122"/>
        <v>5</v>
      </c>
      <c r="W179" s="128">
        <f t="shared" si="123"/>
        <v>5.6</v>
      </c>
      <c r="X179" s="128">
        <f t="shared" si="124"/>
        <v>5.3</v>
      </c>
      <c r="Y179" s="128">
        <f t="shared" si="125"/>
        <v>0.79499999999999993</v>
      </c>
      <c r="Z179" s="129">
        <f t="shared" si="126"/>
        <v>0</v>
      </c>
      <c r="AA179" s="128">
        <f t="shared" si="127"/>
        <v>0</v>
      </c>
      <c r="AB179" s="130">
        <f t="shared" si="128"/>
        <v>0</v>
      </c>
      <c r="AC179" s="131">
        <f t="shared" si="129"/>
        <v>0</v>
      </c>
    </row>
    <row r="180" spans="1:29" hidden="1">
      <c r="A180" s="122">
        <f t="shared" si="108"/>
        <v>840</v>
      </c>
      <c r="B180" s="123">
        <v>0</v>
      </c>
      <c r="C180" s="113"/>
      <c r="D180" s="113"/>
      <c r="E180" s="124">
        <f t="shared" si="109"/>
        <v>0</v>
      </c>
      <c r="F180" s="124">
        <f t="shared" si="110"/>
        <v>0</v>
      </c>
      <c r="G180" s="125">
        <f t="shared" si="130"/>
        <v>5</v>
      </c>
      <c r="H180" s="125">
        <f t="shared" si="131"/>
        <v>0</v>
      </c>
      <c r="I180" s="126">
        <f t="shared" si="111"/>
        <v>5</v>
      </c>
      <c r="J180" s="116">
        <f t="shared" si="112"/>
        <v>6.4</v>
      </c>
      <c r="K180" s="117">
        <f t="shared" si="113"/>
        <v>6.4</v>
      </c>
      <c r="L180" s="116">
        <f t="shared" si="114"/>
        <v>6.4</v>
      </c>
      <c r="M180" s="116">
        <f t="shared" si="115"/>
        <v>0</v>
      </c>
      <c r="N180" s="126">
        <f t="shared" si="116"/>
        <v>5.6</v>
      </c>
      <c r="O180" s="116">
        <f t="shared" si="117"/>
        <v>6.4</v>
      </c>
      <c r="P180" s="126">
        <f t="shared" si="118"/>
        <v>6</v>
      </c>
      <c r="Q180" s="126">
        <f t="shared" si="119"/>
        <v>1.2000000000000002</v>
      </c>
      <c r="R180" s="127">
        <f>(2*ปร.4_1!$W$12)*B180</f>
        <v>0</v>
      </c>
      <c r="S180" s="127">
        <f>ปร.4_1!$Z$13*Soil!B180</f>
        <v>0</v>
      </c>
      <c r="T180" s="128">
        <f t="shared" si="120"/>
        <v>0</v>
      </c>
      <c r="U180" s="128">
        <f t="shared" si="121"/>
        <v>0</v>
      </c>
      <c r="V180" s="128">
        <f t="shared" si="122"/>
        <v>5</v>
      </c>
      <c r="W180" s="128">
        <f t="shared" si="123"/>
        <v>5.6</v>
      </c>
      <c r="X180" s="128">
        <f t="shared" si="124"/>
        <v>5.3</v>
      </c>
      <c r="Y180" s="128">
        <f t="shared" si="125"/>
        <v>0.79499999999999993</v>
      </c>
      <c r="Z180" s="129">
        <f t="shared" si="126"/>
        <v>0</v>
      </c>
      <c r="AA180" s="128">
        <f t="shared" si="127"/>
        <v>0</v>
      </c>
      <c r="AB180" s="130">
        <f t="shared" si="128"/>
        <v>0</v>
      </c>
      <c r="AC180" s="131">
        <f t="shared" si="129"/>
        <v>0</v>
      </c>
    </row>
    <row r="181" spans="1:29" hidden="1">
      <c r="A181" s="122">
        <f t="shared" si="108"/>
        <v>840</v>
      </c>
      <c r="B181" s="123">
        <v>0</v>
      </c>
      <c r="C181" s="113"/>
      <c r="D181" s="113"/>
      <c r="E181" s="124">
        <f t="shared" si="109"/>
        <v>0</v>
      </c>
      <c r="F181" s="124">
        <f t="shared" si="110"/>
        <v>0</v>
      </c>
      <c r="G181" s="125">
        <f t="shared" si="130"/>
        <v>5</v>
      </c>
      <c r="H181" s="125">
        <f t="shared" si="131"/>
        <v>0</v>
      </c>
      <c r="I181" s="126">
        <f t="shared" si="111"/>
        <v>5</v>
      </c>
      <c r="J181" s="116">
        <f t="shared" si="112"/>
        <v>6.4</v>
      </c>
      <c r="K181" s="117">
        <f t="shared" si="113"/>
        <v>6.4</v>
      </c>
      <c r="L181" s="116">
        <f t="shared" si="114"/>
        <v>6.4</v>
      </c>
      <c r="M181" s="116">
        <f t="shared" si="115"/>
        <v>0</v>
      </c>
      <c r="N181" s="126">
        <f t="shared" si="116"/>
        <v>5.6</v>
      </c>
      <c r="O181" s="116">
        <f t="shared" si="117"/>
        <v>6.4</v>
      </c>
      <c r="P181" s="126">
        <f t="shared" si="118"/>
        <v>6</v>
      </c>
      <c r="Q181" s="126">
        <f t="shared" si="119"/>
        <v>1.2000000000000002</v>
      </c>
      <c r="R181" s="127">
        <f>(2*ปร.4_1!$W$12)*B181</f>
        <v>0</v>
      </c>
      <c r="S181" s="127">
        <f>ปร.4_1!$Z$13*Soil!B181</f>
        <v>0</v>
      </c>
      <c r="T181" s="128">
        <f t="shared" si="120"/>
        <v>0</v>
      </c>
      <c r="U181" s="128">
        <f t="shared" si="121"/>
        <v>0</v>
      </c>
      <c r="V181" s="128">
        <f t="shared" si="122"/>
        <v>5</v>
      </c>
      <c r="W181" s="128">
        <f t="shared" si="123"/>
        <v>5.6</v>
      </c>
      <c r="X181" s="128">
        <f t="shared" si="124"/>
        <v>5.3</v>
      </c>
      <c r="Y181" s="128">
        <f t="shared" si="125"/>
        <v>0.79499999999999993</v>
      </c>
      <c r="Z181" s="129">
        <f t="shared" si="126"/>
        <v>0</v>
      </c>
      <c r="AA181" s="128">
        <f t="shared" si="127"/>
        <v>0</v>
      </c>
      <c r="AB181" s="130">
        <f t="shared" si="128"/>
        <v>0</v>
      </c>
      <c r="AC181" s="131">
        <f t="shared" si="129"/>
        <v>0</v>
      </c>
    </row>
    <row r="182" spans="1:29" hidden="1">
      <c r="A182" s="122">
        <f t="shared" si="108"/>
        <v>840</v>
      </c>
      <c r="B182" s="123">
        <v>0</v>
      </c>
      <c r="C182" s="113"/>
      <c r="D182" s="113"/>
      <c r="E182" s="124">
        <f t="shared" si="109"/>
        <v>0</v>
      </c>
      <c r="F182" s="124">
        <f t="shared" si="110"/>
        <v>0</v>
      </c>
      <c r="G182" s="125">
        <f t="shared" si="130"/>
        <v>5</v>
      </c>
      <c r="H182" s="125">
        <f t="shared" si="131"/>
        <v>0</v>
      </c>
      <c r="I182" s="126">
        <f t="shared" si="111"/>
        <v>5</v>
      </c>
      <c r="J182" s="116">
        <f t="shared" si="112"/>
        <v>6.4</v>
      </c>
      <c r="K182" s="117">
        <f t="shared" si="113"/>
        <v>6.4</v>
      </c>
      <c r="L182" s="116">
        <f t="shared" si="114"/>
        <v>6.4</v>
      </c>
      <c r="M182" s="116">
        <f t="shared" si="115"/>
        <v>0</v>
      </c>
      <c r="N182" s="126">
        <f t="shared" si="116"/>
        <v>5.6</v>
      </c>
      <c r="O182" s="116">
        <f t="shared" si="117"/>
        <v>6.4</v>
      </c>
      <c r="P182" s="126">
        <f t="shared" si="118"/>
        <v>6</v>
      </c>
      <c r="Q182" s="126">
        <f t="shared" si="119"/>
        <v>1.2000000000000002</v>
      </c>
      <c r="R182" s="127">
        <f>(2*ปร.4_1!$W$12)*B182</f>
        <v>0</v>
      </c>
      <c r="S182" s="127">
        <f>ปร.4_1!$Z$13*Soil!B182</f>
        <v>0</v>
      </c>
      <c r="T182" s="128">
        <f t="shared" si="120"/>
        <v>0</v>
      </c>
      <c r="U182" s="128">
        <f t="shared" si="121"/>
        <v>0</v>
      </c>
      <c r="V182" s="128">
        <f t="shared" si="122"/>
        <v>5</v>
      </c>
      <c r="W182" s="128">
        <f t="shared" si="123"/>
        <v>5.6</v>
      </c>
      <c r="X182" s="128">
        <f t="shared" si="124"/>
        <v>5.3</v>
      </c>
      <c r="Y182" s="128">
        <f t="shared" si="125"/>
        <v>0.79499999999999993</v>
      </c>
      <c r="Z182" s="129">
        <f t="shared" si="126"/>
        <v>0</v>
      </c>
      <c r="AA182" s="128">
        <f t="shared" si="127"/>
        <v>0</v>
      </c>
      <c r="AB182" s="130">
        <f t="shared" si="128"/>
        <v>0</v>
      </c>
      <c r="AC182" s="131">
        <f t="shared" si="129"/>
        <v>0</v>
      </c>
    </row>
    <row r="183" spans="1:29" hidden="1">
      <c r="A183" s="122">
        <f t="shared" si="108"/>
        <v>840</v>
      </c>
      <c r="B183" s="123">
        <v>0</v>
      </c>
      <c r="C183" s="113"/>
      <c r="D183" s="113"/>
      <c r="E183" s="124">
        <f t="shared" si="109"/>
        <v>0</v>
      </c>
      <c r="F183" s="124">
        <f t="shared" si="110"/>
        <v>0</v>
      </c>
      <c r="G183" s="125">
        <f t="shared" si="130"/>
        <v>5</v>
      </c>
      <c r="H183" s="125">
        <f t="shared" si="131"/>
        <v>0</v>
      </c>
      <c r="I183" s="126">
        <f t="shared" si="111"/>
        <v>5</v>
      </c>
      <c r="J183" s="116">
        <f t="shared" si="112"/>
        <v>6.4</v>
      </c>
      <c r="K183" s="117">
        <f t="shared" si="113"/>
        <v>6.4</v>
      </c>
      <c r="L183" s="116">
        <f t="shared" si="114"/>
        <v>6.4</v>
      </c>
      <c r="M183" s="116">
        <f t="shared" si="115"/>
        <v>0</v>
      </c>
      <c r="N183" s="126">
        <f t="shared" si="116"/>
        <v>5.6</v>
      </c>
      <c r="O183" s="116">
        <f t="shared" si="117"/>
        <v>6.4</v>
      </c>
      <c r="P183" s="126">
        <f t="shared" si="118"/>
        <v>6</v>
      </c>
      <c r="Q183" s="126">
        <f t="shared" si="119"/>
        <v>1.2000000000000002</v>
      </c>
      <c r="R183" s="127">
        <f>(2*ปร.4_1!$W$12)*B183</f>
        <v>0</v>
      </c>
      <c r="S183" s="127">
        <f>ปร.4_1!$Z$13*Soil!B183</f>
        <v>0</v>
      </c>
      <c r="T183" s="128">
        <f t="shared" si="120"/>
        <v>0</v>
      </c>
      <c r="U183" s="128">
        <f t="shared" si="121"/>
        <v>0</v>
      </c>
      <c r="V183" s="128">
        <f t="shared" si="122"/>
        <v>5</v>
      </c>
      <c r="W183" s="128">
        <f t="shared" si="123"/>
        <v>5.6</v>
      </c>
      <c r="X183" s="128">
        <f t="shared" si="124"/>
        <v>5.3</v>
      </c>
      <c r="Y183" s="128">
        <f t="shared" si="125"/>
        <v>0.79499999999999993</v>
      </c>
      <c r="Z183" s="129">
        <f t="shared" si="126"/>
        <v>0</v>
      </c>
      <c r="AA183" s="128">
        <f t="shared" si="127"/>
        <v>0</v>
      </c>
      <c r="AB183" s="130">
        <f t="shared" si="128"/>
        <v>0</v>
      </c>
      <c r="AC183" s="131">
        <f t="shared" si="129"/>
        <v>0</v>
      </c>
    </row>
    <row r="184" spans="1:29" hidden="1">
      <c r="A184" s="122">
        <f t="shared" si="108"/>
        <v>840</v>
      </c>
      <c r="B184" s="123">
        <v>0</v>
      </c>
      <c r="C184" s="113"/>
      <c r="D184" s="113"/>
      <c r="E184" s="124">
        <f t="shared" si="109"/>
        <v>0</v>
      </c>
      <c r="F184" s="124">
        <f t="shared" si="110"/>
        <v>0</v>
      </c>
      <c r="G184" s="125">
        <f t="shared" si="130"/>
        <v>5</v>
      </c>
      <c r="H184" s="125">
        <f t="shared" si="131"/>
        <v>0</v>
      </c>
      <c r="I184" s="126">
        <f t="shared" si="111"/>
        <v>5</v>
      </c>
      <c r="J184" s="116">
        <f t="shared" si="112"/>
        <v>6.4</v>
      </c>
      <c r="K184" s="117">
        <f t="shared" si="113"/>
        <v>6.4</v>
      </c>
      <c r="L184" s="116">
        <f t="shared" si="114"/>
        <v>6.4</v>
      </c>
      <c r="M184" s="116">
        <f t="shared" si="115"/>
        <v>0</v>
      </c>
      <c r="N184" s="126">
        <f t="shared" si="116"/>
        <v>5.6</v>
      </c>
      <c r="O184" s="116">
        <f t="shared" si="117"/>
        <v>6.4</v>
      </c>
      <c r="P184" s="126">
        <f t="shared" si="118"/>
        <v>6</v>
      </c>
      <c r="Q184" s="126">
        <f t="shared" si="119"/>
        <v>1.2000000000000002</v>
      </c>
      <c r="R184" s="127">
        <f>(2*ปร.4_1!$W$12)*B184</f>
        <v>0</v>
      </c>
      <c r="S184" s="127">
        <f>ปร.4_1!$Z$13*Soil!B184</f>
        <v>0</v>
      </c>
      <c r="T184" s="128">
        <f t="shared" si="120"/>
        <v>0</v>
      </c>
      <c r="U184" s="128">
        <f t="shared" si="121"/>
        <v>0</v>
      </c>
      <c r="V184" s="128">
        <f t="shared" si="122"/>
        <v>5</v>
      </c>
      <c r="W184" s="128">
        <f t="shared" si="123"/>
        <v>5.6</v>
      </c>
      <c r="X184" s="128">
        <f t="shared" si="124"/>
        <v>5.3</v>
      </c>
      <c r="Y184" s="128">
        <f t="shared" si="125"/>
        <v>0.79499999999999993</v>
      </c>
      <c r="Z184" s="129">
        <f t="shared" si="126"/>
        <v>0</v>
      </c>
      <c r="AA184" s="128">
        <f t="shared" si="127"/>
        <v>0</v>
      </c>
      <c r="AB184" s="130">
        <f t="shared" si="128"/>
        <v>0</v>
      </c>
      <c r="AC184" s="131">
        <f t="shared" si="129"/>
        <v>0</v>
      </c>
    </row>
    <row r="185" spans="1:29" hidden="1">
      <c r="A185" s="122">
        <f t="shared" si="108"/>
        <v>840</v>
      </c>
      <c r="B185" s="123">
        <v>0</v>
      </c>
      <c r="C185" s="113"/>
      <c r="D185" s="113"/>
      <c r="E185" s="124">
        <f t="shared" si="109"/>
        <v>0</v>
      </c>
      <c r="F185" s="124">
        <f t="shared" si="110"/>
        <v>0</v>
      </c>
      <c r="G185" s="125">
        <f t="shared" si="130"/>
        <v>5</v>
      </c>
      <c r="H185" s="125">
        <f t="shared" si="131"/>
        <v>0</v>
      </c>
      <c r="I185" s="126">
        <f t="shared" si="111"/>
        <v>5</v>
      </c>
      <c r="J185" s="116">
        <f t="shared" si="112"/>
        <v>6.4</v>
      </c>
      <c r="K185" s="117">
        <f t="shared" si="113"/>
        <v>6.4</v>
      </c>
      <c r="L185" s="116">
        <f t="shared" si="114"/>
        <v>6.4</v>
      </c>
      <c r="M185" s="116">
        <f t="shared" si="115"/>
        <v>0</v>
      </c>
      <c r="N185" s="126">
        <f t="shared" si="116"/>
        <v>5.6</v>
      </c>
      <c r="O185" s="116">
        <f t="shared" si="117"/>
        <v>6.4</v>
      </c>
      <c r="P185" s="126">
        <f t="shared" si="118"/>
        <v>6</v>
      </c>
      <c r="Q185" s="126">
        <f t="shared" si="119"/>
        <v>1.2000000000000002</v>
      </c>
      <c r="R185" s="127">
        <f>(2*ปร.4_1!$W$12)*B185</f>
        <v>0</v>
      </c>
      <c r="S185" s="127">
        <f>ปร.4_1!$Z$13*Soil!B185</f>
        <v>0</v>
      </c>
      <c r="T185" s="128">
        <f t="shared" si="120"/>
        <v>0</v>
      </c>
      <c r="U185" s="128">
        <f t="shared" si="121"/>
        <v>0</v>
      </c>
      <c r="V185" s="128">
        <f t="shared" si="122"/>
        <v>5</v>
      </c>
      <c r="W185" s="128">
        <f t="shared" si="123"/>
        <v>5.6</v>
      </c>
      <c r="X185" s="128">
        <f t="shared" si="124"/>
        <v>5.3</v>
      </c>
      <c r="Y185" s="128">
        <f t="shared" si="125"/>
        <v>0.79499999999999993</v>
      </c>
      <c r="Z185" s="129">
        <f t="shared" si="126"/>
        <v>0</v>
      </c>
      <c r="AA185" s="128">
        <f t="shared" si="127"/>
        <v>0</v>
      </c>
      <c r="AB185" s="130">
        <f t="shared" si="128"/>
        <v>0</v>
      </c>
      <c r="AC185" s="131">
        <f t="shared" si="129"/>
        <v>0</v>
      </c>
    </row>
    <row r="186" spans="1:29" hidden="1">
      <c r="A186" s="122">
        <f t="shared" si="108"/>
        <v>840</v>
      </c>
      <c r="B186" s="123">
        <v>0</v>
      </c>
      <c r="C186" s="113"/>
      <c r="D186" s="113"/>
      <c r="E186" s="124">
        <f t="shared" si="109"/>
        <v>0</v>
      </c>
      <c r="F186" s="124">
        <f t="shared" si="110"/>
        <v>0</v>
      </c>
      <c r="G186" s="125">
        <f t="shared" si="130"/>
        <v>5</v>
      </c>
      <c r="H186" s="125">
        <f t="shared" si="131"/>
        <v>0</v>
      </c>
      <c r="I186" s="126">
        <f t="shared" si="111"/>
        <v>5</v>
      </c>
      <c r="J186" s="116">
        <f t="shared" si="112"/>
        <v>6.4</v>
      </c>
      <c r="K186" s="117">
        <f t="shared" si="113"/>
        <v>6.4</v>
      </c>
      <c r="L186" s="116">
        <f t="shared" si="114"/>
        <v>6.4</v>
      </c>
      <c r="M186" s="116">
        <f t="shared" si="115"/>
        <v>0</v>
      </c>
      <c r="N186" s="126">
        <f t="shared" si="116"/>
        <v>5.6</v>
      </c>
      <c r="O186" s="116">
        <f t="shared" si="117"/>
        <v>6.4</v>
      </c>
      <c r="P186" s="126">
        <f t="shared" si="118"/>
        <v>6</v>
      </c>
      <c r="Q186" s="126">
        <f t="shared" si="119"/>
        <v>1.2000000000000002</v>
      </c>
      <c r="R186" s="127">
        <f>(2*ปร.4_1!$W$12)*B186</f>
        <v>0</v>
      </c>
      <c r="S186" s="127">
        <f>ปร.4_1!$Z$13*Soil!B186</f>
        <v>0</v>
      </c>
      <c r="T186" s="128">
        <f t="shared" si="120"/>
        <v>0</v>
      </c>
      <c r="U186" s="128">
        <f t="shared" si="121"/>
        <v>0</v>
      </c>
      <c r="V186" s="128">
        <f t="shared" si="122"/>
        <v>5</v>
      </c>
      <c r="W186" s="128">
        <f t="shared" si="123"/>
        <v>5.6</v>
      </c>
      <c r="X186" s="128">
        <f t="shared" si="124"/>
        <v>5.3</v>
      </c>
      <c r="Y186" s="128">
        <f t="shared" si="125"/>
        <v>0.79499999999999993</v>
      </c>
      <c r="Z186" s="129">
        <f t="shared" si="126"/>
        <v>0</v>
      </c>
      <c r="AA186" s="128">
        <f t="shared" si="127"/>
        <v>0</v>
      </c>
      <c r="AB186" s="130">
        <f t="shared" si="128"/>
        <v>0</v>
      </c>
      <c r="AC186" s="131">
        <f t="shared" si="129"/>
        <v>0</v>
      </c>
    </row>
    <row r="187" spans="1:29" hidden="1">
      <c r="A187" s="122">
        <f t="shared" si="108"/>
        <v>840</v>
      </c>
      <c r="B187" s="123">
        <v>0</v>
      </c>
      <c r="C187" s="113"/>
      <c r="D187" s="113"/>
      <c r="E187" s="124">
        <f t="shared" si="109"/>
        <v>0</v>
      </c>
      <c r="F187" s="124">
        <f t="shared" si="110"/>
        <v>0</v>
      </c>
      <c r="G187" s="125">
        <f t="shared" si="130"/>
        <v>5</v>
      </c>
      <c r="H187" s="125">
        <f t="shared" si="131"/>
        <v>0</v>
      </c>
      <c r="I187" s="126">
        <f t="shared" si="111"/>
        <v>5</v>
      </c>
      <c r="J187" s="116">
        <f t="shared" si="112"/>
        <v>6.4</v>
      </c>
      <c r="K187" s="117">
        <f t="shared" si="113"/>
        <v>6.4</v>
      </c>
      <c r="L187" s="116">
        <f t="shared" si="114"/>
        <v>6.4</v>
      </c>
      <c r="M187" s="116">
        <f t="shared" si="115"/>
        <v>0</v>
      </c>
      <c r="N187" s="126">
        <f t="shared" si="116"/>
        <v>5.6</v>
      </c>
      <c r="O187" s="116">
        <f t="shared" si="117"/>
        <v>6.4</v>
      </c>
      <c r="P187" s="126">
        <f t="shared" si="118"/>
        <v>6</v>
      </c>
      <c r="Q187" s="126">
        <f t="shared" si="119"/>
        <v>1.2000000000000002</v>
      </c>
      <c r="R187" s="127">
        <f>(2*ปร.4_1!$W$12)*B187</f>
        <v>0</v>
      </c>
      <c r="S187" s="127">
        <f>ปร.4_1!$Z$13*Soil!B187</f>
        <v>0</v>
      </c>
      <c r="T187" s="128">
        <f t="shared" si="120"/>
        <v>0</v>
      </c>
      <c r="U187" s="128">
        <f t="shared" si="121"/>
        <v>0</v>
      </c>
      <c r="V187" s="128">
        <f t="shared" si="122"/>
        <v>5</v>
      </c>
      <c r="W187" s="128">
        <f t="shared" si="123"/>
        <v>5.6</v>
      </c>
      <c r="X187" s="128">
        <f t="shared" si="124"/>
        <v>5.3</v>
      </c>
      <c r="Y187" s="128">
        <f t="shared" si="125"/>
        <v>0.79499999999999993</v>
      </c>
      <c r="Z187" s="129">
        <f t="shared" si="126"/>
        <v>0</v>
      </c>
      <c r="AA187" s="128">
        <f t="shared" si="127"/>
        <v>0</v>
      </c>
      <c r="AB187" s="130">
        <f t="shared" si="128"/>
        <v>0</v>
      </c>
      <c r="AC187" s="131">
        <f t="shared" si="129"/>
        <v>0</v>
      </c>
    </row>
    <row r="188" spans="1:29" hidden="1">
      <c r="A188" s="122">
        <f t="shared" si="108"/>
        <v>840</v>
      </c>
      <c r="B188" s="123">
        <v>0</v>
      </c>
      <c r="C188" s="113"/>
      <c r="D188" s="113"/>
      <c r="E188" s="124">
        <f t="shared" si="109"/>
        <v>0</v>
      </c>
      <c r="F188" s="124">
        <f t="shared" si="110"/>
        <v>0</v>
      </c>
      <c r="G188" s="125">
        <f t="shared" si="130"/>
        <v>5</v>
      </c>
      <c r="H188" s="125">
        <f t="shared" si="131"/>
        <v>0</v>
      </c>
      <c r="I188" s="126">
        <f t="shared" si="111"/>
        <v>5</v>
      </c>
      <c r="J188" s="116">
        <f t="shared" si="112"/>
        <v>6.4</v>
      </c>
      <c r="K188" s="117">
        <f t="shared" si="113"/>
        <v>6.4</v>
      </c>
      <c r="L188" s="116">
        <f t="shared" si="114"/>
        <v>6.4</v>
      </c>
      <c r="M188" s="116">
        <f t="shared" si="115"/>
        <v>0</v>
      </c>
      <c r="N188" s="126">
        <f t="shared" si="116"/>
        <v>5.6</v>
      </c>
      <c r="O188" s="116">
        <f t="shared" si="117"/>
        <v>6.4</v>
      </c>
      <c r="P188" s="126">
        <f t="shared" si="118"/>
        <v>6</v>
      </c>
      <c r="Q188" s="126">
        <f t="shared" si="119"/>
        <v>1.2000000000000002</v>
      </c>
      <c r="R188" s="127">
        <f>(2*ปร.4_1!$W$12)*B188</f>
        <v>0</v>
      </c>
      <c r="S188" s="127">
        <f>ปร.4_1!$Z$13*Soil!B188</f>
        <v>0</v>
      </c>
      <c r="T188" s="128">
        <f t="shared" si="120"/>
        <v>0</v>
      </c>
      <c r="U188" s="128">
        <f t="shared" si="121"/>
        <v>0</v>
      </c>
      <c r="V188" s="128">
        <f t="shared" si="122"/>
        <v>5</v>
      </c>
      <c r="W188" s="128">
        <f t="shared" si="123"/>
        <v>5.6</v>
      </c>
      <c r="X188" s="128">
        <f t="shared" si="124"/>
        <v>5.3</v>
      </c>
      <c r="Y188" s="128">
        <f t="shared" si="125"/>
        <v>0.79499999999999993</v>
      </c>
      <c r="Z188" s="129">
        <f t="shared" si="126"/>
        <v>0</v>
      </c>
      <c r="AA188" s="128">
        <f t="shared" si="127"/>
        <v>0</v>
      </c>
      <c r="AB188" s="130">
        <f t="shared" si="128"/>
        <v>0</v>
      </c>
      <c r="AC188" s="131">
        <f t="shared" si="129"/>
        <v>0</v>
      </c>
    </row>
    <row r="189" spans="1:29" hidden="1">
      <c r="A189" s="122">
        <f t="shared" si="108"/>
        <v>840</v>
      </c>
      <c r="B189" s="123">
        <v>0</v>
      </c>
      <c r="C189" s="113"/>
      <c r="D189" s="113"/>
      <c r="E189" s="124">
        <f t="shared" si="109"/>
        <v>0</v>
      </c>
      <c r="F189" s="124">
        <f t="shared" si="110"/>
        <v>0</v>
      </c>
      <c r="G189" s="125">
        <f t="shared" si="130"/>
        <v>5</v>
      </c>
      <c r="H189" s="125">
        <f t="shared" si="131"/>
        <v>0</v>
      </c>
      <c r="I189" s="126">
        <f t="shared" si="111"/>
        <v>5</v>
      </c>
      <c r="J189" s="116">
        <f t="shared" si="112"/>
        <v>6.4</v>
      </c>
      <c r="K189" s="117">
        <f t="shared" si="113"/>
        <v>6.4</v>
      </c>
      <c r="L189" s="116">
        <f t="shared" si="114"/>
        <v>6.4</v>
      </c>
      <c r="M189" s="116">
        <f t="shared" si="115"/>
        <v>0</v>
      </c>
      <c r="N189" s="126">
        <f t="shared" si="116"/>
        <v>5.6</v>
      </c>
      <c r="O189" s="116">
        <f t="shared" si="117"/>
        <v>6.4</v>
      </c>
      <c r="P189" s="126">
        <f t="shared" si="118"/>
        <v>6</v>
      </c>
      <c r="Q189" s="126">
        <f t="shared" si="119"/>
        <v>1.2000000000000002</v>
      </c>
      <c r="R189" s="127">
        <f>(2*ปร.4_1!$W$12)*B189</f>
        <v>0</v>
      </c>
      <c r="S189" s="127">
        <f>ปร.4_1!$Z$13*Soil!B189</f>
        <v>0</v>
      </c>
      <c r="T189" s="128">
        <f t="shared" si="120"/>
        <v>0</v>
      </c>
      <c r="U189" s="128">
        <f t="shared" si="121"/>
        <v>0</v>
      </c>
      <c r="V189" s="128">
        <f t="shared" si="122"/>
        <v>5</v>
      </c>
      <c r="W189" s="128">
        <f t="shared" si="123"/>
        <v>5.6</v>
      </c>
      <c r="X189" s="128">
        <f t="shared" si="124"/>
        <v>5.3</v>
      </c>
      <c r="Y189" s="128">
        <f t="shared" si="125"/>
        <v>0.79499999999999993</v>
      </c>
      <c r="Z189" s="129">
        <f t="shared" si="126"/>
        <v>0</v>
      </c>
      <c r="AA189" s="128">
        <f t="shared" si="127"/>
        <v>0</v>
      </c>
      <c r="AB189" s="130">
        <f t="shared" si="128"/>
        <v>0</v>
      </c>
      <c r="AC189" s="131">
        <f t="shared" si="129"/>
        <v>0</v>
      </c>
    </row>
    <row r="190" spans="1:29" hidden="1">
      <c r="A190" s="122">
        <f t="shared" si="108"/>
        <v>840</v>
      </c>
      <c r="B190" s="123">
        <v>0</v>
      </c>
      <c r="C190" s="113"/>
      <c r="D190" s="113"/>
      <c r="E190" s="124">
        <f t="shared" si="109"/>
        <v>0</v>
      </c>
      <c r="F190" s="124">
        <f t="shared" si="110"/>
        <v>0</v>
      </c>
      <c r="G190" s="125">
        <f t="shared" si="130"/>
        <v>5</v>
      </c>
      <c r="H190" s="125">
        <f t="shared" si="131"/>
        <v>0</v>
      </c>
      <c r="I190" s="126">
        <f t="shared" si="111"/>
        <v>5</v>
      </c>
      <c r="J190" s="116">
        <f t="shared" si="112"/>
        <v>6.4</v>
      </c>
      <c r="K190" s="117">
        <f t="shared" si="113"/>
        <v>6.4</v>
      </c>
      <c r="L190" s="116">
        <f t="shared" si="114"/>
        <v>6.4</v>
      </c>
      <c r="M190" s="116">
        <f t="shared" si="115"/>
        <v>0</v>
      </c>
      <c r="N190" s="126">
        <f t="shared" si="116"/>
        <v>5.6</v>
      </c>
      <c r="O190" s="116">
        <f t="shared" si="117"/>
        <v>6.4</v>
      </c>
      <c r="P190" s="126">
        <f t="shared" si="118"/>
        <v>6</v>
      </c>
      <c r="Q190" s="126">
        <f t="shared" si="119"/>
        <v>1.2000000000000002</v>
      </c>
      <c r="R190" s="127">
        <f>(2*ปร.4_1!$W$12)*B190</f>
        <v>0</v>
      </c>
      <c r="S190" s="127">
        <f>ปร.4_1!$Z$13*Soil!B190</f>
        <v>0</v>
      </c>
      <c r="T190" s="128">
        <f t="shared" si="120"/>
        <v>0</v>
      </c>
      <c r="U190" s="128">
        <f t="shared" si="121"/>
        <v>0</v>
      </c>
      <c r="V190" s="128">
        <f t="shared" si="122"/>
        <v>5</v>
      </c>
      <c r="W190" s="128">
        <f t="shared" si="123"/>
        <v>5.6</v>
      </c>
      <c r="X190" s="128">
        <f t="shared" si="124"/>
        <v>5.3</v>
      </c>
      <c r="Y190" s="128">
        <f t="shared" si="125"/>
        <v>0.79499999999999993</v>
      </c>
      <c r="Z190" s="129">
        <f t="shared" si="126"/>
        <v>0</v>
      </c>
      <c r="AA190" s="128">
        <f t="shared" si="127"/>
        <v>0</v>
      </c>
      <c r="AB190" s="130">
        <f t="shared" si="128"/>
        <v>0</v>
      </c>
      <c r="AC190" s="131">
        <f t="shared" si="129"/>
        <v>0</v>
      </c>
    </row>
    <row r="191" spans="1:29" hidden="1">
      <c r="A191" s="122">
        <f t="shared" si="108"/>
        <v>840</v>
      </c>
      <c r="B191" s="123">
        <v>0</v>
      </c>
      <c r="C191" s="113"/>
      <c r="D191" s="113"/>
      <c r="E191" s="124">
        <f t="shared" si="109"/>
        <v>0</v>
      </c>
      <c r="F191" s="124">
        <f t="shared" si="110"/>
        <v>0</v>
      </c>
      <c r="G191" s="125">
        <f t="shared" si="130"/>
        <v>5</v>
      </c>
      <c r="H191" s="125">
        <f t="shared" si="131"/>
        <v>0</v>
      </c>
      <c r="I191" s="126">
        <f t="shared" si="111"/>
        <v>5</v>
      </c>
      <c r="J191" s="116">
        <f t="shared" si="112"/>
        <v>6.4</v>
      </c>
      <c r="K191" s="117">
        <f t="shared" si="113"/>
        <v>6.4</v>
      </c>
      <c r="L191" s="116">
        <f t="shared" si="114"/>
        <v>6.4</v>
      </c>
      <c r="M191" s="116">
        <f t="shared" si="115"/>
        <v>0</v>
      </c>
      <c r="N191" s="126">
        <f t="shared" si="116"/>
        <v>5.6</v>
      </c>
      <c r="O191" s="116">
        <f t="shared" si="117"/>
        <v>6.4</v>
      </c>
      <c r="P191" s="126">
        <f t="shared" si="118"/>
        <v>6</v>
      </c>
      <c r="Q191" s="126">
        <f t="shared" si="119"/>
        <v>1.2000000000000002</v>
      </c>
      <c r="R191" s="127">
        <f>(2*ปร.4_1!$W$12)*B191</f>
        <v>0</v>
      </c>
      <c r="S191" s="127">
        <f>ปร.4_1!$Z$13*Soil!B191</f>
        <v>0</v>
      </c>
      <c r="T191" s="128">
        <f t="shared" si="120"/>
        <v>0</v>
      </c>
      <c r="U191" s="128">
        <f t="shared" si="121"/>
        <v>0</v>
      </c>
      <c r="V191" s="128">
        <f t="shared" si="122"/>
        <v>5</v>
      </c>
      <c r="W191" s="128">
        <f t="shared" si="123"/>
        <v>5.6</v>
      </c>
      <c r="X191" s="128">
        <f t="shared" si="124"/>
        <v>5.3</v>
      </c>
      <c r="Y191" s="128">
        <f t="shared" si="125"/>
        <v>0.79499999999999993</v>
      </c>
      <c r="Z191" s="129">
        <f t="shared" si="126"/>
        <v>0</v>
      </c>
      <c r="AA191" s="128">
        <f t="shared" si="127"/>
        <v>0</v>
      </c>
      <c r="AB191" s="130">
        <f t="shared" si="128"/>
        <v>0</v>
      </c>
      <c r="AC191" s="131">
        <f t="shared" si="129"/>
        <v>0</v>
      </c>
    </row>
    <row r="192" spans="1:29" hidden="1">
      <c r="A192" s="122">
        <f t="shared" si="108"/>
        <v>840</v>
      </c>
      <c r="B192" s="123">
        <v>0</v>
      </c>
      <c r="C192" s="113"/>
      <c r="D192" s="113"/>
      <c r="E192" s="124">
        <f t="shared" si="109"/>
        <v>0</v>
      </c>
      <c r="F192" s="124">
        <f t="shared" si="110"/>
        <v>0</v>
      </c>
      <c r="G192" s="125">
        <f t="shared" si="130"/>
        <v>5</v>
      </c>
      <c r="H192" s="125">
        <f t="shared" si="131"/>
        <v>0</v>
      </c>
      <c r="I192" s="126">
        <f t="shared" si="111"/>
        <v>5</v>
      </c>
      <c r="J192" s="116">
        <f t="shared" si="112"/>
        <v>6.4</v>
      </c>
      <c r="K192" s="117">
        <f t="shared" si="113"/>
        <v>6.4</v>
      </c>
      <c r="L192" s="116">
        <f t="shared" si="114"/>
        <v>6.4</v>
      </c>
      <c r="M192" s="116">
        <f t="shared" si="115"/>
        <v>0</v>
      </c>
      <c r="N192" s="126">
        <f t="shared" si="116"/>
        <v>5.6</v>
      </c>
      <c r="O192" s="116">
        <f t="shared" si="117"/>
        <v>6.4</v>
      </c>
      <c r="P192" s="126">
        <f t="shared" si="118"/>
        <v>6</v>
      </c>
      <c r="Q192" s="126">
        <f t="shared" si="119"/>
        <v>1.2000000000000002</v>
      </c>
      <c r="R192" s="127">
        <f>(2*ปร.4_1!$W$12)*B192</f>
        <v>0</v>
      </c>
      <c r="S192" s="127">
        <f>ปร.4_1!$Z$13*Soil!B192</f>
        <v>0</v>
      </c>
      <c r="T192" s="128">
        <f t="shared" si="120"/>
        <v>0</v>
      </c>
      <c r="U192" s="128">
        <f t="shared" si="121"/>
        <v>0</v>
      </c>
      <c r="V192" s="128">
        <f t="shared" si="122"/>
        <v>5</v>
      </c>
      <c r="W192" s="128">
        <f t="shared" si="123"/>
        <v>5.6</v>
      </c>
      <c r="X192" s="128">
        <f t="shared" si="124"/>
        <v>5.3</v>
      </c>
      <c r="Y192" s="128">
        <f t="shared" si="125"/>
        <v>0.79499999999999993</v>
      </c>
      <c r="Z192" s="129">
        <f t="shared" si="126"/>
        <v>0</v>
      </c>
      <c r="AA192" s="128">
        <f t="shared" si="127"/>
        <v>0</v>
      </c>
      <c r="AB192" s="130">
        <f t="shared" si="128"/>
        <v>0</v>
      </c>
      <c r="AC192" s="131">
        <f t="shared" si="129"/>
        <v>0</v>
      </c>
    </row>
    <row r="193" spans="1:29" hidden="1">
      <c r="A193" s="122">
        <f t="shared" si="108"/>
        <v>840</v>
      </c>
      <c r="B193" s="123">
        <v>0</v>
      </c>
      <c r="C193" s="113"/>
      <c r="D193" s="113"/>
      <c r="E193" s="124">
        <f t="shared" si="109"/>
        <v>0</v>
      </c>
      <c r="F193" s="124">
        <f t="shared" si="110"/>
        <v>0</v>
      </c>
      <c r="G193" s="125">
        <f t="shared" si="130"/>
        <v>5</v>
      </c>
      <c r="H193" s="125">
        <f t="shared" si="131"/>
        <v>0</v>
      </c>
      <c r="I193" s="126">
        <f t="shared" si="111"/>
        <v>5</v>
      </c>
      <c r="J193" s="116">
        <f t="shared" si="112"/>
        <v>6.4</v>
      </c>
      <c r="K193" s="117">
        <f t="shared" si="113"/>
        <v>6.4</v>
      </c>
      <c r="L193" s="116">
        <f t="shared" si="114"/>
        <v>6.4</v>
      </c>
      <c r="M193" s="116">
        <f t="shared" si="115"/>
        <v>0</v>
      </c>
      <c r="N193" s="126">
        <f t="shared" si="116"/>
        <v>5.6</v>
      </c>
      <c r="O193" s="116">
        <f t="shared" si="117"/>
        <v>6.4</v>
      </c>
      <c r="P193" s="126">
        <f t="shared" si="118"/>
        <v>6</v>
      </c>
      <c r="Q193" s="126">
        <f t="shared" si="119"/>
        <v>1.2000000000000002</v>
      </c>
      <c r="R193" s="127">
        <f>(2*ปร.4_1!$W$12)*B193</f>
        <v>0</v>
      </c>
      <c r="S193" s="127">
        <f>ปร.4_1!$Z$13*Soil!B193</f>
        <v>0</v>
      </c>
      <c r="T193" s="128">
        <f t="shared" si="120"/>
        <v>0</v>
      </c>
      <c r="U193" s="128">
        <f t="shared" si="121"/>
        <v>0</v>
      </c>
      <c r="V193" s="128">
        <f t="shared" si="122"/>
        <v>5</v>
      </c>
      <c r="W193" s="128">
        <f t="shared" si="123"/>
        <v>5.6</v>
      </c>
      <c r="X193" s="128">
        <f t="shared" si="124"/>
        <v>5.3</v>
      </c>
      <c r="Y193" s="128">
        <f t="shared" si="125"/>
        <v>0.79499999999999993</v>
      </c>
      <c r="Z193" s="129">
        <f t="shared" si="126"/>
        <v>0</v>
      </c>
      <c r="AA193" s="128">
        <f t="shared" si="127"/>
        <v>0</v>
      </c>
      <c r="AB193" s="130">
        <f t="shared" si="128"/>
        <v>0</v>
      </c>
      <c r="AC193" s="131">
        <f t="shared" si="129"/>
        <v>0</v>
      </c>
    </row>
    <row r="194" spans="1:29" hidden="1">
      <c r="A194" s="122">
        <f t="shared" si="108"/>
        <v>840</v>
      </c>
      <c r="B194" s="123">
        <v>0</v>
      </c>
      <c r="C194" s="113"/>
      <c r="D194" s="113"/>
      <c r="E194" s="124">
        <f t="shared" si="109"/>
        <v>0</v>
      </c>
      <c r="F194" s="124">
        <f t="shared" si="110"/>
        <v>0</v>
      </c>
      <c r="G194" s="125">
        <f t="shared" si="130"/>
        <v>5</v>
      </c>
      <c r="H194" s="125">
        <f t="shared" si="131"/>
        <v>0</v>
      </c>
      <c r="I194" s="126">
        <f t="shared" si="111"/>
        <v>5</v>
      </c>
      <c r="J194" s="116">
        <f t="shared" si="112"/>
        <v>6.4</v>
      </c>
      <c r="K194" s="117">
        <f t="shared" si="113"/>
        <v>6.4</v>
      </c>
      <c r="L194" s="116">
        <f t="shared" si="114"/>
        <v>6.4</v>
      </c>
      <c r="M194" s="116">
        <f t="shared" si="115"/>
        <v>0</v>
      </c>
      <c r="N194" s="126">
        <f t="shared" si="116"/>
        <v>5.6</v>
      </c>
      <c r="O194" s="116">
        <f t="shared" si="117"/>
        <v>6.4</v>
      </c>
      <c r="P194" s="126">
        <f t="shared" si="118"/>
        <v>6</v>
      </c>
      <c r="Q194" s="126">
        <f t="shared" si="119"/>
        <v>1.2000000000000002</v>
      </c>
      <c r="R194" s="127">
        <f>(2*ปร.4_1!$W$12)*B194</f>
        <v>0</v>
      </c>
      <c r="S194" s="127">
        <f>ปร.4_1!$Z$13*Soil!B194</f>
        <v>0</v>
      </c>
      <c r="T194" s="128">
        <f t="shared" si="120"/>
        <v>0</v>
      </c>
      <c r="U194" s="128">
        <f t="shared" si="121"/>
        <v>0</v>
      </c>
      <c r="V194" s="128">
        <f t="shared" si="122"/>
        <v>5</v>
      </c>
      <c r="W194" s="128">
        <f t="shared" si="123"/>
        <v>5.6</v>
      </c>
      <c r="X194" s="128">
        <f t="shared" si="124"/>
        <v>5.3</v>
      </c>
      <c r="Y194" s="128">
        <f t="shared" si="125"/>
        <v>0.79499999999999993</v>
      </c>
      <c r="Z194" s="129">
        <f t="shared" si="126"/>
        <v>0</v>
      </c>
      <c r="AA194" s="128">
        <f t="shared" si="127"/>
        <v>0</v>
      </c>
      <c r="AB194" s="130">
        <f t="shared" si="128"/>
        <v>0</v>
      </c>
      <c r="AC194" s="131">
        <f t="shared" si="129"/>
        <v>0</v>
      </c>
    </row>
    <row r="195" spans="1:29" hidden="1">
      <c r="A195" s="122">
        <f t="shared" si="108"/>
        <v>840</v>
      </c>
      <c r="B195" s="123">
        <v>0</v>
      </c>
      <c r="C195" s="113"/>
      <c r="D195" s="113"/>
      <c r="E195" s="124">
        <f t="shared" si="109"/>
        <v>0</v>
      </c>
      <c r="F195" s="124">
        <f t="shared" si="110"/>
        <v>0</v>
      </c>
      <c r="G195" s="125">
        <f t="shared" si="130"/>
        <v>5</v>
      </c>
      <c r="H195" s="125">
        <f t="shared" si="131"/>
        <v>0</v>
      </c>
      <c r="I195" s="126">
        <f t="shared" si="111"/>
        <v>5</v>
      </c>
      <c r="J195" s="116">
        <f t="shared" si="112"/>
        <v>6.4</v>
      </c>
      <c r="K195" s="117">
        <f t="shared" si="113"/>
        <v>6.4</v>
      </c>
      <c r="L195" s="116">
        <f t="shared" si="114"/>
        <v>6.4</v>
      </c>
      <c r="M195" s="116">
        <f t="shared" si="115"/>
        <v>0</v>
      </c>
      <c r="N195" s="126">
        <f t="shared" si="116"/>
        <v>5.6</v>
      </c>
      <c r="O195" s="116">
        <f t="shared" si="117"/>
        <v>6.4</v>
      </c>
      <c r="P195" s="126">
        <f t="shared" si="118"/>
        <v>6</v>
      </c>
      <c r="Q195" s="126">
        <f t="shared" si="119"/>
        <v>1.2000000000000002</v>
      </c>
      <c r="R195" s="127">
        <f>(2*ปร.4_1!$W$12)*B195</f>
        <v>0</v>
      </c>
      <c r="S195" s="127">
        <f>ปร.4_1!$Z$13*Soil!B195</f>
        <v>0</v>
      </c>
      <c r="T195" s="128">
        <f t="shared" si="120"/>
        <v>0</v>
      </c>
      <c r="U195" s="128">
        <f t="shared" si="121"/>
        <v>0</v>
      </c>
      <c r="V195" s="128">
        <f t="shared" si="122"/>
        <v>5</v>
      </c>
      <c r="W195" s="128">
        <f t="shared" si="123"/>
        <v>5.6</v>
      </c>
      <c r="X195" s="128">
        <f t="shared" si="124"/>
        <v>5.3</v>
      </c>
      <c r="Y195" s="128">
        <f t="shared" si="125"/>
        <v>0.79499999999999993</v>
      </c>
      <c r="Z195" s="129">
        <f t="shared" si="126"/>
        <v>0</v>
      </c>
      <c r="AA195" s="128">
        <f t="shared" si="127"/>
        <v>0</v>
      </c>
      <c r="AB195" s="130">
        <f t="shared" si="128"/>
        <v>0</v>
      </c>
      <c r="AC195" s="131">
        <f t="shared" si="129"/>
        <v>0</v>
      </c>
    </row>
    <row r="196" spans="1:29" hidden="1">
      <c r="A196" s="122">
        <f t="shared" si="108"/>
        <v>840</v>
      </c>
      <c r="B196" s="123">
        <v>0</v>
      </c>
      <c r="C196" s="113"/>
      <c r="D196" s="113"/>
      <c r="E196" s="124">
        <f t="shared" si="109"/>
        <v>0</v>
      </c>
      <c r="F196" s="124">
        <f t="shared" si="110"/>
        <v>0</v>
      </c>
      <c r="G196" s="125">
        <f t="shared" si="130"/>
        <v>5</v>
      </c>
      <c r="H196" s="125">
        <f t="shared" si="131"/>
        <v>0</v>
      </c>
      <c r="I196" s="126">
        <f t="shared" si="111"/>
        <v>5</v>
      </c>
      <c r="J196" s="116">
        <f t="shared" si="112"/>
        <v>6.4</v>
      </c>
      <c r="K196" s="117">
        <f t="shared" si="113"/>
        <v>6.4</v>
      </c>
      <c r="L196" s="116">
        <f t="shared" si="114"/>
        <v>6.4</v>
      </c>
      <c r="M196" s="116">
        <f t="shared" si="115"/>
        <v>0</v>
      </c>
      <c r="N196" s="126">
        <f t="shared" si="116"/>
        <v>5.6</v>
      </c>
      <c r="O196" s="116">
        <f t="shared" si="117"/>
        <v>6.4</v>
      </c>
      <c r="P196" s="126">
        <f t="shared" si="118"/>
        <v>6</v>
      </c>
      <c r="Q196" s="126">
        <f t="shared" si="119"/>
        <v>1.2000000000000002</v>
      </c>
      <c r="R196" s="127">
        <f>(2*ปร.4_1!$W$12)*B196</f>
        <v>0</v>
      </c>
      <c r="S196" s="127">
        <f>ปร.4_1!$Z$13*Soil!B196</f>
        <v>0</v>
      </c>
      <c r="T196" s="128">
        <f t="shared" si="120"/>
        <v>0</v>
      </c>
      <c r="U196" s="128">
        <f t="shared" si="121"/>
        <v>0</v>
      </c>
      <c r="V196" s="128">
        <f t="shared" si="122"/>
        <v>5</v>
      </c>
      <c r="W196" s="128">
        <f t="shared" si="123"/>
        <v>5.6</v>
      </c>
      <c r="X196" s="128">
        <f t="shared" si="124"/>
        <v>5.3</v>
      </c>
      <c r="Y196" s="128">
        <f t="shared" si="125"/>
        <v>0.79499999999999993</v>
      </c>
      <c r="Z196" s="129">
        <f t="shared" si="126"/>
        <v>0</v>
      </c>
      <c r="AA196" s="128">
        <f t="shared" si="127"/>
        <v>0</v>
      </c>
      <c r="AB196" s="130">
        <f t="shared" si="128"/>
        <v>0</v>
      </c>
      <c r="AC196" s="131">
        <f t="shared" si="129"/>
        <v>0</v>
      </c>
    </row>
    <row r="197" spans="1:29" hidden="1">
      <c r="A197" s="122">
        <f t="shared" si="108"/>
        <v>840</v>
      </c>
      <c r="B197" s="123">
        <v>0</v>
      </c>
      <c r="C197" s="113"/>
      <c r="D197" s="113"/>
      <c r="E197" s="124">
        <f t="shared" si="109"/>
        <v>0</v>
      </c>
      <c r="F197" s="124">
        <f t="shared" si="110"/>
        <v>0</v>
      </c>
      <c r="G197" s="125">
        <f t="shared" si="130"/>
        <v>5</v>
      </c>
      <c r="H197" s="125">
        <f t="shared" si="131"/>
        <v>0</v>
      </c>
      <c r="I197" s="126">
        <f t="shared" si="111"/>
        <v>5</v>
      </c>
      <c r="J197" s="116">
        <f t="shared" si="112"/>
        <v>6.4</v>
      </c>
      <c r="K197" s="117">
        <f t="shared" si="113"/>
        <v>6.4</v>
      </c>
      <c r="L197" s="116">
        <f t="shared" si="114"/>
        <v>6.4</v>
      </c>
      <c r="M197" s="116">
        <f t="shared" si="115"/>
        <v>0</v>
      </c>
      <c r="N197" s="126">
        <f t="shared" si="116"/>
        <v>5.6</v>
      </c>
      <c r="O197" s="116">
        <f t="shared" si="117"/>
        <v>6.4</v>
      </c>
      <c r="P197" s="126">
        <f t="shared" si="118"/>
        <v>6</v>
      </c>
      <c r="Q197" s="126">
        <f t="shared" si="119"/>
        <v>1.2000000000000002</v>
      </c>
      <c r="R197" s="127">
        <f>(2*ปร.4_1!$W$12)*B197</f>
        <v>0</v>
      </c>
      <c r="S197" s="127">
        <f>ปร.4_1!$Z$13*Soil!B197</f>
        <v>0</v>
      </c>
      <c r="T197" s="128">
        <f t="shared" si="120"/>
        <v>0</v>
      </c>
      <c r="U197" s="128">
        <f t="shared" si="121"/>
        <v>0</v>
      </c>
      <c r="V197" s="128">
        <f t="shared" si="122"/>
        <v>5</v>
      </c>
      <c r="W197" s="128">
        <f t="shared" si="123"/>
        <v>5.6</v>
      </c>
      <c r="X197" s="128">
        <f t="shared" si="124"/>
        <v>5.3</v>
      </c>
      <c r="Y197" s="128">
        <f t="shared" si="125"/>
        <v>0.79499999999999993</v>
      </c>
      <c r="Z197" s="129">
        <f t="shared" si="126"/>
        <v>0</v>
      </c>
      <c r="AA197" s="128">
        <f t="shared" si="127"/>
        <v>0</v>
      </c>
      <c r="AB197" s="130">
        <f t="shared" si="128"/>
        <v>0</v>
      </c>
      <c r="AC197" s="131">
        <f t="shared" si="129"/>
        <v>0</v>
      </c>
    </row>
    <row r="198" spans="1:29" hidden="1">
      <c r="A198" s="122">
        <f t="shared" si="108"/>
        <v>840</v>
      </c>
      <c r="B198" s="123">
        <v>0</v>
      </c>
      <c r="C198" s="113"/>
      <c r="D198" s="113"/>
      <c r="E198" s="124">
        <f t="shared" si="109"/>
        <v>0</v>
      </c>
      <c r="F198" s="124">
        <f t="shared" si="110"/>
        <v>0</v>
      </c>
      <c r="G198" s="125">
        <f t="shared" si="130"/>
        <v>5</v>
      </c>
      <c r="H198" s="125">
        <f t="shared" si="131"/>
        <v>0</v>
      </c>
      <c r="I198" s="126">
        <f t="shared" si="111"/>
        <v>5</v>
      </c>
      <c r="J198" s="116">
        <f t="shared" si="112"/>
        <v>6.4</v>
      </c>
      <c r="K198" s="117">
        <f t="shared" si="113"/>
        <v>6.4</v>
      </c>
      <c r="L198" s="116">
        <f t="shared" si="114"/>
        <v>6.4</v>
      </c>
      <c r="M198" s="116">
        <f t="shared" si="115"/>
        <v>0</v>
      </c>
      <c r="N198" s="126">
        <f t="shared" si="116"/>
        <v>5.6</v>
      </c>
      <c r="O198" s="116">
        <f t="shared" si="117"/>
        <v>6.4</v>
      </c>
      <c r="P198" s="126">
        <f t="shared" si="118"/>
        <v>6</v>
      </c>
      <c r="Q198" s="126">
        <f t="shared" si="119"/>
        <v>1.2000000000000002</v>
      </c>
      <c r="R198" s="127">
        <f>(2*ปร.4_1!$W$12)*B198</f>
        <v>0</v>
      </c>
      <c r="S198" s="127">
        <f>ปร.4_1!$Z$13*Soil!B198</f>
        <v>0</v>
      </c>
      <c r="T198" s="128">
        <f t="shared" si="120"/>
        <v>0</v>
      </c>
      <c r="U198" s="128">
        <f t="shared" si="121"/>
        <v>0</v>
      </c>
      <c r="V198" s="128">
        <f t="shared" si="122"/>
        <v>5</v>
      </c>
      <c r="W198" s="128">
        <f t="shared" si="123"/>
        <v>5.6</v>
      </c>
      <c r="X198" s="128">
        <f t="shared" si="124"/>
        <v>5.3</v>
      </c>
      <c r="Y198" s="128">
        <f t="shared" si="125"/>
        <v>0.79499999999999993</v>
      </c>
      <c r="Z198" s="129">
        <f t="shared" si="126"/>
        <v>0</v>
      </c>
      <c r="AA198" s="128">
        <f t="shared" si="127"/>
        <v>0</v>
      </c>
      <c r="AB198" s="130">
        <f t="shared" si="128"/>
        <v>0</v>
      </c>
      <c r="AC198" s="131">
        <f t="shared" si="129"/>
        <v>0</v>
      </c>
    </row>
    <row r="199" spans="1:29" hidden="1">
      <c r="A199" s="122">
        <f t="shared" si="108"/>
        <v>840</v>
      </c>
      <c r="B199" s="123">
        <v>0</v>
      </c>
      <c r="C199" s="113"/>
      <c r="D199" s="113"/>
      <c r="E199" s="124">
        <f t="shared" si="109"/>
        <v>0</v>
      </c>
      <c r="F199" s="124">
        <f t="shared" si="110"/>
        <v>0</v>
      </c>
      <c r="G199" s="125">
        <f t="shared" si="130"/>
        <v>5</v>
      </c>
      <c r="H199" s="125">
        <f t="shared" si="131"/>
        <v>0</v>
      </c>
      <c r="I199" s="126">
        <f t="shared" si="111"/>
        <v>5</v>
      </c>
      <c r="J199" s="116">
        <f t="shared" si="112"/>
        <v>6.4</v>
      </c>
      <c r="K199" s="117">
        <f t="shared" si="113"/>
        <v>6.4</v>
      </c>
      <c r="L199" s="116">
        <f t="shared" si="114"/>
        <v>6.4</v>
      </c>
      <c r="M199" s="116">
        <f t="shared" si="115"/>
        <v>0</v>
      </c>
      <c r="N199" s="126">
        <f t="shared" si="116"/>
        <v>5.6</v>
      </c>
      <c r="O199" s="116">
        <f t="shared" si="117"/>
        <v>6.4</v>
      </c>
      <c r="P199" s="126">
        <f t="shared" si="118"/>
        <v>6</v>
      </c>
      <c r="Q199" s="126">
        <f t="shared" si="119"/>
        <v>1.2000000000000002</v>
      </c>
      <c r="R199" s="127">
        <f>(2*ปร.4_1!$W$12)*B199</f>
        <v>0</v>
      </c>
      <c r="S199" s="127">
        <f>ปร.4_1!$Z$13*Soil!B199</f>
        <v>0</v>
      </c>
      <c r="T199" s="128">
        <f t="shared" si="120"/>
        <v>0</v>
      </c>
      <c r="U199" s="128">
        <f t="shared" si="121"/>
        <v>0</v>
      </c>
      <c r="V199" s="128">
        <f t="shared" si="122"/>
        <v>5</v>
      </c>
      <c r="W199" s="128">
        <f t="shared" si="123"/>
        <v>5.6</v>
      </c>
      <c r="X199" s="128">
        <f t="shared" si="124"/>
        <v>5.3</v>
      </c>
      <c r="Y199" s="128">
        <f t="shared" si="125"/>
        <v>0.79499999999999993</v>
      </c>
      <c r="Z199" s="129">
        <f t="shared" si="126"/>
        <v>0</v>
      </c>
      <c r="AA199" s="128">
        <f t="shared" si="127"/>
        <v>0</v>
      </c>
      <c r="AB199" s="130">
        <f t="shared" si="128"/>
        <v>0</v>
      </c>
      <c r="AC199" s="131">
        <f t="shared" si="129"/>
        <v>0</v>
      </c>
    </row>
    <row r="200" spans="1:29" hidden="1">
      <c r="A200" s="122">
        <f t="shared" si="108"/>
        <v>840</v>
      </c>
      <c r="B200" s="123">
        <v>0</v>
      </c>
      <c r="C200" s="113"/>
      <c r="D200" s="113"/>
      <c r="E200" s="124">
        <f t="shared" si="109"/>
        <v>0</v>
      </c>
      <c r="F200" s="124">
        <f t="shared" si="110"/>
        <v>0</v>
      </c>
      <c r="G200" s="125">
        <f t="shared" si="130"/>
        <v>5</v>
      </c>
      <c r="H200" s="125">
        <f t="shared" si="131"/>
        <v>0</v>
      </c>
      <c r="I200" s="126">
        <f t="shared" si="111"/>
        <v>5</v>
      </c>
      <c r="J200" s="116">
        <f t="shared" si="112"/>
        <v>6.4</v>
      </c>
      <c r="K200" s="117">
        <f t="shared" si="113"/>
        <v>6.4</v>
      </c>
      <c r="L200" s="116">
        <f t="shared" si="114"/>
        <v>6.4</v>
      </c>
      <c r="M200" s="116">
        <f t="shared" si="115"/>
        <v>0</v>
      </c>
      <c r="N200" s="126">
        <f t="shared" si="116"/>
        <v>5.6</v>
      </c>
      <c r="O200" s="116">
        <f t="shared" si="117"/>
        <v>6.4</v>
      </c>
      <c r="P200" s="126">
        <f t="shared" si="118"/>
        <v>6</v>
      </c>
      <c r="Q200" s="126">
        <f t="shared" si="119"/>
        <v>1.2000000000000002</v>
      </c>
      <c r="R200" s="127">
        <f>(2*ปร.4_1!$W$12)*B200</f>
        <v>0</v>
      </c>
      <c r="S200" s="127">
        <f>ปร.4_1!$Z$13*Soil!B200</f>
        <v>0</v>
      </c>
      <c r="T200" s="128">
        <f t="shared" si="120"/>
        <v>0</v>
      </c>
      <c r="U200" s="128">
        <f t="shared" si="121"/>
        <v>0</v>
      </c>
      <c r="V200" s="128">
        <f t="shared" si="122"/>
        <v>5</v>
      </c>
      <c r="W200" s="128">
        <f t="shared" si="123"/>
        <v>5.6</v>
      </c>
      <c r="X200" s="128">
        <f t="shared" si="124"/>
        <v>5.3</v>
      </c>
      <c r="Y200" s="128">
        <f t="shared" si="125"/>
        <v>0.79499999999999993</v>
      </c>
      <c r="Z200" s="129">
        <f t="shared" si="126"/>
        <v>0</v>
      </c>
      <c r="AA200" s="128">
        <f t="shared" si="127"/>
        <v>0</v>
      </c>
      <c r="AB200" s="130">
        <f t="shared" si="128"/>
        <v>0</v>
      </c>
      <c r="AC200" s="131">
        <f t="shared" si="129"/>
        <v>0</v>
      </c>
    </row>
    <row r="201" spans="1:29" hidden="1">
      <c r="A201" s="122">
        <f t="shared" si="108"/>
        <v>840</v>
      </c>
      <c r="B201" s="123">
        <v>0</v>
      </c>
      <c r="C201" s="113"/>
      <c r="D201" s="113"/>
      <c r="E201" s="124">
        <f t="shared" si="109"/>
        <v>0</v>
      </c>
      <c r="F201" s="124">
        <f t="shared" si="110"/>
        <v>0</v>
      </c>
      <c r="G201" s="125">
        <f t="shared" si="130"/>
        <v>5</v>
      </c>
      <c r="H201" s="125">
        <f t="shared" si="131"/>
        <v>0</v>
      </c>
      <c r="I201" s="126">
        <f t="shared" si="111"/>
        <v>5</v>
      </c>
      <c r="J201" s="116">
        <f t="shared" si="112"/>
        <v>6.4</v>
      </c>
      <c r="K201" s="117">
        <f t="shared" si="113"/>
        <v>6.4</v>
      </c>
      <c r="L201" s="116">
        <f t="shared" si="114"/>
        <v>6.4</v>
      </c>
      <c r="M201" s="116">
        <f t="shared" si="115"/>
        <v>0</v>
      </c>
      <c r="N201" s="126">
        <f t="shared" si="116"/>
        <v>5.6</v>
      </c>
      <c r="O201" s="116">
        <f t="shared" si="117"/>
        <v>6.4</v>
      </c>
      <c r="P201" s="126">
        <f t="shared" si="118"/>
        <v>6</v>
      </c>
      <c r="Q201" s="126">
        <f t="shared" si="119"/>
        <v>1.2000000000000002</v>
      </c>
      <c r="R201" s="127">
        <f>(2*ปร.4_1!$W$12)*B201</f>
        <v>0</v>
      </c>
      <c r="S201" s="127">
        <f>ปร.4_1!$Z$13*Soil!B201</f>
        <v>0</v>
      </c>
      <c r="T201" s="128">
        <f t="shared" si="120"/>
        <v>0</v>
      </c>
      <c r="U201" s="128">
        <f t="shared" si="121"/>
        <v>0</v>
      </c>
      <c r="V201" s="128">
        <f t="shared" si="122"/>
        <v>5</v>
      </c>
      <c r="W201" s="128">
        <f t="shared" si="123"/>
        <v>5.6</v>
      </c>
      <c r="X201" s="128">
        <f t="shared" si="124"/>
        <v>5.3</v>
      </c>
      <c r="Y201" s="128">
        <f t="shared" si="125"/>
        <v>0.79499999999999993</v>
      </c>
      <c r="Z201" s="129">
        <f t="shared" si="126"/>
        <v>0</v>
      </c>
      <c r="AA201" s="128">
        <f t="shared" si="127"/>
        <v>0</v>
      </c>
      <c r="AB201" s="130">
        <f t="shared" si="128"/>
        <v>0</v>
      </c>
      <c r="AC201" s="131">
        <f t="shared" si="129"/>
        <v>0</v>
      </c>
    </row>
    <row r="202" spans="1:29" hidden="1">
      <c r="A202" s="122">
        <f t="shared" si="108"/>
        <v>840</v>
      </c>
      <c r="B202" s="123">
        <v>0</v>
      </c>
      <c r="C202" s="113"/>
      <c r="D202" s="113"/>
      <c r="E202" s="124">
        <f t="shared" si="109"/>
        <v>0</v>
      </c>
      <c r="F202" s="124">
        <f t="shared" si="110"/>
        <v>0</v>
      </c>
      <c r="G202" s="125">
        <f t="shared" si="130"/>
        <v>5</v>
      </c>
      <c r="H202" s="125">
        <f t="shared" si="131"/>
        <v>0</v>
      </c>
      <c r="I202" s="126">
        <f t="shared" si="111"/>
        <v>5</v>
      </c>
      <c r="J202" s="116">
        <f t="shared" si="112"/>
        <v>6.4</v>
      </c>
      <c r="K202" s="117">
        <f t="shared" si="113"/>
        <v>6.4</v>
      </c>
      <c r="L202" s="116">
        <f t="shared" si="114"/>
        <v>6.4</v>
      </c>
      <c r="M202" s="116">
        <f t="shared" si="115"/>
        <v>0</v>
      </c>
      <c r="N202" s="126">
        <f t="shared" si="116"/>
        <v>5.6</v>
      </c>
      <c r="O202" s="116">
        <f t="shared" si="117"/>
        <v>6.4</v>
      </c>
      <c r="P202" s="126">
        <f t="shared" si="118"/>
        <v>6</v>
      </c>
      <c r="Q202" s="126">
        <f t="shared" si="119"/>
        <v>1.2000000000000002</v>
      </c>
      <c r="R202" s="127">
        <f>(2*ปร.4_1!$W$12)*B202</f>
        <v>0</v>
      </c>
      <c r="S202" s="127">
        <f>ปร.4_1!$Z$13*Soil!B202</f>
        <v>0</v>
      </c>
      <c r="T202" s="128">
        <f t="shared" si="120"/>
        <v>0</v>
      </c>
      <c r="U202" s="128">
        <f t="shared" si="121"/>
        <v>0</v>
      </c>
      <c r="V202" s="128">
        <f t="shared" si="122"/>
        <v>5</v>
      </c>
      <c r="W202" s="128">
        <f t="shared" si="123"/>
        <v>5.6</v>
      </c>
      <c r="X202" s="128">
        <f t="shared" si="124"/>
        <v>5.3</v>
      </c>
      <c r="Y202" s="128">
        <f t="shared" si="125"/>
        <v>0.79499999999999993</v>
      </c>
      <c r="Z202" s="129">
        <f t="shared" si="126"/>
        <v>0</v>
      </c>
      <c r="AA202" s="128">
        <f t="shared" si="127"/>
        <v>0</v>
      </c>
      <c r="AB202" s="130">
        <f t="shared" si="128"/>
        <v>0</v>
      </c>
      <c r="AC202" s="131">
        <f t="shared" si="129"/>
        <v>0</v>
      </c>
    </row>
    <row r="203" spans="1:29" hidden="1">
      <c r="A203" s="122">
        <f t="shared" si="108"/>
        <v>840</v>
      </c>
      <c r="B203" s="123">
        <v>0</v>
      </c>
      <c r="C203" s="113"/>
      <c r="D203" s="113"/>
      <c r="E203" s="124">
        <f t="shared" si="109"/>
        <v>0</v>
      </c>
      <c r="F203" s="124">
        <f t="shared" si="110"/>
        <v>0</v>
      </c>
      <c r="G203" s="125">
        <f t="shared" si="130"/>
        <v>5</v>
      </c>
      <c r="H203" s="125">
        <f t="shared" si="131"/>
        <v>0</v>
      </c>
      <c r="I203" s="126">
        <f t="shared" si="111"/>
        <v>5</v>
      </c>
      <c r="J203" s="116">
        <f t="shared" si="112"/>
        <v>6.4</v>
      </c>
      <c r="K203" s="117">
        <f t="shared" si="113"/>
        <v>6.4</v>
      </c>
      <c r="L203" s="116">
        <f t="shared" si="114"/>
        <v>6.4</v>
      </c>
      <c r="M203" s="116">
        <f t="shared" si="115"/>
        <v>0</v>
      </c>
      <c r="N203" s="126">
        <f t="shared" si="116"/>
        <v>5.6</v>
      </c>
      <c r="O203" s="116">
        <f t="shared" si="117"/>
        <v>6.4</v>
      </c>
      <c r="P203" s="126">
        <f t="shared" si="118"/>
        <v>6</v>
      </c>
      <c r="Q203" s="126">
        <f t="shared" si="119"/>
        <v>1.2000000000000002</v>
      </c>
      <c r="R203" s="127">
        <f>(2*ปร.4_1!$W$12)*B203</f>
        <v>0</v>
      </c>
      <c r="S203" s="127">
        <f>ปร.4_1!$Z$13*Soil!B203</f>
        <v>0</v>
      </c>
      <c r="T203" s="128">
        <f t="shared" si="120"/>
        <v>0</v>
      </c>
      <c r="U203" s="128">
        <f t="shared" si="121"/>
        <v>0</v>
      </c>
      <c r="V203" s="128">
        <f t="shared" si="122"/>
        <v>5</v>
      </c>
      <c r="W203" s="128">
        <f t="shared" si="123"/>
        <v>5.6</v>
      </c>
      <c r="X203" s="128">
        <f t="shared" si="124"/>
        <v>5.3</v>
      </c>
      <c r="Y203" s="128">
        <f t="shared" si="125"/>
        <v>0.79499999999999993</v>
      </c>
      <c r="Z203" s="129">
        <f t="shared" si="126"/>
        <v>0</v>
      </c>
      <c r="AA203" s="128">
        <f t="shared" si="127"/>
        <v>0</v>
      </c>
      <c r="AB203" s="130">
        <f t="shared" si="128"/>
        <v>0</v>
      </c>
      <c r="AC203" s="131">
        <f t="shared" si="129"/>
        <v>0</v>
      </c>
    </row>
    <row r="204" spans="1:29" hidden="1">
      <c r="A204" s="122">
        <f t="shared" si="108"/>
        <v>840</v>
      </c>
      <c r="B204" s="123">
        <v>0</v>
      </c>
      <c r="C204" s="113"/>
      <c r="D204" s="113"/>
      <c r="E204" s="124">
        <f t="shared" si="109"/>
        <v>0</v>
      </c>
      <c r="F204" s="124">
        <f t="shared" si="110"/>
        <v>0</v>
      </c>
      <c r="G204" s="125">
        <f t="shared" si="130"/>
        <v>5</v>
      </c>
      <c r="H204" s="125">
        <f t="shared" si="131"/>
        <v>0</v>
      </c>
      <c r="I204" s="126">
        <f t="shared" si="111"/>
        <v>5</v>
      </c>
      <c r="J204" s="116">
        <f t="shared" si="112"/>
        <v>6.4</v>
      </c>
      <c r="K204" s="117">
        <f t="shared" si="113"/>
        <v>6.4</v>
      </c>
      <c r="L204" s="116">
        <f t="shared" si="114"/>
        <v>6.4</v>
      </c>
      <c r="M204" s="116">
        <f t="shared" si="115"/>
        <v>0</v>
      </c>
      <c r="N204" s="126">
        <f t="shared" si="116"/>
        <v>5.6</v>
      </c>
      <c r="O204" s="116">
        <f t="shared" si="117"/>
        <v>6.4</v>
      </c>
      <c r="P204" s="126">
        <f t="shared" si="118"/>
        <v>6</v>
      </c>
      <c r="Q204" s="126">
        <f t="shared" si="119"/>
        <v>1.2000000000000002</v>
      </c>
      <c r="R204" s="127">
        <f>(2*ปร.4_1!$W$12)*B204</f>
        <v>0</v>
      </c>
      <c r="S204" s="127">
        <f>ปร.4_1!$Z$13*Soil!B204</f>
        <v>0</v>
      </c>
      <c r="T204" s="128">
        <f t="shared" si="120"/>
        <v>0</v>
      </c>
      <c r="U204" s="128">
        <f t="shared" si="121"/>
        <v>0</v>
      </c>
      <c r="V204" s="128">
        <f t="shared" si="122"/>
        <v>5</v>
      </c>
      <c r="W204" s="128">
        <f t="shared" si="123"/>
        <v>5.6</v>
      </c>
      <c r="X204" s="128">
        <f t="shared" si="124"/>
        <v>5.3</v>
      </c>
      <c r="Y204" s="128">
        <f t="shared" si="125"/>
        <v>0.79499999999999993</v>
      </c>
      <c r="Z204" s="129">
        <f t="shared" si="126"/>
        <v>0</v>
      </c>
      <c r="AA204" s="128">
        <f t="shared" si="127"/>
        <v>0</v>
      </c>
      <c r="AB204" s="130">
        <f t="shared" si="128"/>
        <v>0</v>
      </c>
      <c r="AC204" s="131">
        <f t="shared" si="129"/>
        <v>0</v>
      </c>
    </row>
    <row r="205" spans="1:29" hidden="1">
      <c r="A205" s="122">
        <f t="shared" si="108"/>
        <v>840</v>
      </c>
      <c r="B205" s="123">
        <v>0</v>
      </c>
      <c r="C205" s="113"/>
      <c r="D205" s="113"/>
      <c r="E205" s="124">
        <f t="shared" si="109"/>
        <v>0</v>
      </c>
      <c r="F205" s="124">
        <f t="shared" si="110"/>
        <v>0</v>
      </c>
      <c r="G205" s="125">
        <f t="shared" si="130"/>
        <v>5</v>
      </c>
      <c r="H205" s="125">
        <f t="shared" si="131"/>
        <v>0</v>
      </c>
      <c r="I205" s="126">
        <f t="shared" si="111"/>
        <v>5</v>
      </c>
      <c r="J205" s="116">
        <f t="shared" si="112"/>
        <v>6.4</v>
      </c>
      <c r="K205" s="117">
        <f t="shared" si="113"/>
        <v>6.4</v>
      </c>
      <c r="L205" s="116">
        <f t="shared" si="114"/>
        <v>6.4</v>
      </c>
      <c r="M205" s="116">
        <f t="shared" si="115"/>
        <v>0</v>
      </c>
      <c r="N205" s="126">
        <f t="shared" si="116"/>
        <v>5.6</v>
      </c>
      <c r="O205" s="116">
        <f t="shared" si="117"/>
        <v>6.4</v>
      </c>
      <c r="P205" s="126">
        <f t="shared" si="118"/>
        <v>6</v>
      </c>
      <c r="Q205" s="126">
        <f t="shared" si="119"/>
        <v>1.2000000000000002</v>
      </c>
      <c r="R205" s="127">
        <f>(2*ปร.4_1!$W$12)*B205</f>
        <v>0</v>
      </c>
      <c r="S205" s="127">
        <f>ปร.4_1!$Z$13*Soil!B205</f>
        <v>0</v>
      </c>
      <c r="T205" s="128">
        <f t="shared" si="120"/>
        <v>0</v>
      </c>
      <c r="U205" s="128">
        <f t="shared" si="121"/>
        <v>0</v>
      </c>
      <c r="V205" s="128">
        <f t="shared" si="122"/>
        <v>5</v>
      </c>
      <c r="W205" s="128">
        <f t="shared" si="123"/>
        <v>5.6</v>
      </c>
      <c r="X205" s="128">
        <f t="shared" si="124"/>
        <v>5.3</v>
      </c>
      <c r="Y205" s="128">
        <f t="shared" si="125"/>
        <v>0.79499999999999993</v>
      </c>
      <c r="Z205" s="129">
        <f t="shared" si="126"/>
        <v>0</v>
      </c>
      <c r="AA205" s="128">
        <f t="shared" si="127"/>
        <v>0</v>
      </c>
      <c r="AB205" s="130">
        <f t="shared" si="128"/>
        <v>0</v>
      </c>
      <c r="AC205" s="131">
        <f t="shared" si="129"/>
        <v>0</v>
      </c>
    </row>
    <row r="206" spans="1:29" hidden="1">
      <c r="A206" s="122">
        <f t="shared" si="108"/>
        <v>840</v>
      </c>
      <c r="B206" s="123"/>
      <c r="C206" s="113"/>
      <c r="D206" s="113"/>
      <c r="E206" s="124">
        <f t="shared" si="109"/>
        <v>0</v>
      </c>
      <c r="F206" s="124">
        <f t="shared" si="110"/>
        <v>0</v>
      </c>
      <c r="G206" s="125">
        <f t="shared" si="130"/>
        <v>5</v>
      </c>
      <c r="H206" s="125">
        <f t="shared" si="131"/>
        <v>0</v>
      </c>
      <c r="I206" s="126">
        <f t="shared" si="111"/>
        <v>5</v>
      </c>
      <c r="J206" s="116">
        <f t="shared" si="112"/>
        <v>6.4</v>
      </c>
      <c r="K206" s="117">
        <f t="shared" si="113"/>
        <v>6.4</v>
      </c>
      <c r="L206" s="116">
        <f t="shared" si="114"/>
        <v>6.4</v>
      </c>
      <c r="M206" s="116">
        <f t="shared" si="115"/>
        <v>0</v>
      </c>
      <c r="N206" s="126">
        <f t="shared" si="116"/>
        <v>5.6</v>
      </c>
      <c r="O206" s="116">
        <f t="shared" si="117"/>
        <v>6.4</v>
      </c>
      <c r="P206" s="126">
        <f t="shared" si="118"/>
        <v>6</v>
      </c>
      <c r="Q206" s="126">
        <f t="shared" si="119"/>
        <v>1.2000000000000002</v>
      </c>
      <c r="R206" s="127">
        <f>(2*ปร.4_1!$W$12)*B206</f>
        <v>0</v>
      </c>
      <c r="S206" s="127">
        <f>ปร.4_1!$Z$13*Soil!B206</f>
        <v>0</v>
      </c>
      <c r="T206" s="128">
        <f t="shared" si="120"/>
        <v>0</v>
      </c>
      <c r="U206" s="128">
        <f t="shared" si="121"/>
        <v>0</v>
      </c>
      <c r="V206" s="128">
        <f t="shared" si="122"/>
        <v>5</v>
      </c>
      <c r="W206" s="128">
        <f t="shared" si="123"/>
        <v>5.6</v>
      </c>
      <c r="X206" s="128">
        <f t="shared" si="124"/>
        <v>5.3</v>
      </c>
      <c r="Y206" s="128">
        <f t="shared" si="125"/>
        <v>0.79499999999999993</v>
      </c>
      <c r="Z206" s="129">
        <f t="shared" si="126"/>
        <v>0</v>
      </c>
      <c r="AA206" s="128">
        <f t="shared" si="127"/>
        <v>0</v>
      </c>
      <c r="AB206" s="130">
        <f t="shared" si="128"/>
        <v>0</v>
      </c>
      <c r="AC206" s="131">
        <f t="shared" si="129"/>
        <v>0</v>
      </c>
    </row>
    <row r="207" spans="1:29" hidden="1">
      <c r="A207" s="122">
        <f t="shared" si="108"/>
        <v>840</v>
      </c>
      <c r="B207" s="123"/>
      <c r="C207" s="113"/>
      <c r="D207" s="113"/>
      <c r="E207" s="124">
        <f>(C206+C207)/2*B207</f>
        <v>0</v>
      </c>
      <c r="F207" s="124">
        <f>+(D206+D207)/2*B207</f>
        <v>0</v>
      </c>
      <c r="G207" s="125">
        <f t="shared" si="130"/>
        <v>5</v>
      </c>
      <c r="H207" s="125">
        <f t="shared" si="131"/>
        <v>0</v>
      </c>
      <c r="I207" s="126">
        <f>+G207+2*H207</f>
        <v>5</v>
      </c>
      <c r="J207" s="116">
        <f>IF(I207=0,0,I207+2*($I$3+I$4)/(1/$I$1))</f>
        <v>6.4</v>
      </c>
      <c r="K207" s="117">
        <f>IF(I207=0,0,I207+2*($I$2+$I$3+$I$4)/(1/$I$1))</f>
        <v>6.4</v>
      </c>
      <c r="L207" s="116">
        <f>(J207+K207)/2</f>
        <v>6.4</v>
      </c>
      <c r="M207" s="116">
        <f>L207*$I$2</f>
        <v>0</v>
      </c>
      <c r="N207" s="126">
        <f>IF(I207=0,0,I207+2*$I$4/(1/$I$1))</f>
        <v>5.6</v>
      </c>
      <c r="O207" s="116">
        <f>IF(I207=0,0,I207+2*($I$3+$I$4)/(1/$I$1))</f>
        <v>6.4</v>
      </c>
      <c r="P207" s="126">
        <f>+(N207+O207)/2</f>
        <v>6</v>
      </c>
      <c r="Q207" s="126">
        <f>+P207*$I$3</f>
        <v>1.2000000000000002</v>
      </c>
      <c r="R207" s="127">
        <f>(2*ปร.4_1!$W$12)*B207</f>
        <v>0</v>
      </c>
      <c r="S207" s="127">
        <f>ปร.4_1!$Z$13*Soil!B207</f>
        <v>0</v>
      </c>
      <c r="T207" s="128">
        <f>IF(G207=0,0,(M207+M206)/2*B207)</f>
        <v>0</v>
      </c>
      <c r="U207" s="128">
        <f>IF(G207=0,0,(Q207+Q206)/2*B207)</f>
        <v>0</v>
      </c>
      <c r="V207" s="128">
        <f>+I207</f>
        <v>5</v>
      </c>
      <c r="W207" s="128">
        <f>N207</f>
        <v>5.6</v>
      </c>
      <c r="X207" s="128">
        <f>+(V207+W207)/2</f>
        <v>5.3</v>
      </c>
      <c r="Y207" s="128">
        <f>+X207*$I$4</f>
        <v>0.79499999999999993</v>
      </c>
      <c r="Z207" s="129">
        <f>IF(G207=0,0,(Y207+Y206)/2*B207)</f>
        <v>0</v>
      </c>
      <c r="AA207" s="128">
        <f>IF(G207=0,0,(G206+G207)/2*B207)</f>
        <v>0</v>
      </c>
      <c r="AB207" s="130">
        <f>IF(G207=0,0,(2*H206+2*H207)/2*B207)</f>
        <v>0</v>
      </c>
      <c r="AC207" s="131">
        <f>IF(G207&gt;0,B207,0)</f>
        <v>0</v>
      </c>
    </row>
    <row r="208" spans="1:29" hidden="1">
      <c r="A208" s="122">
        <f>A207+B208</f>
        <v>840</v>
      </c>
      <c r="B208" s="123"/>
      <c r="C208" s="113"/>
      <c r="D208" s="113"/>
      <c r="E208" s="124">
        <f>(C207+C208)/2*B208</f>
        <v>0</v>
      </c>
      <c r="F208" s="124">
        <f>+(D207+D208)/2*B208</f>
        <v>0</v>
      </c>
      <c r="G208" s="125">
        <f t="shared" si="130"/>
        <v>5</v>
      </c>
      <c r="H208" s="125">
        <f t="shared" si="131"/>
        <v>0</v>
      </c>
      <c r="I208" s="126">
        <f>+G208+2*H208</f>
        <v>5</v>
      </c>
      <c r="J208" s="116">
        <f>IF(I208=0,0,I208+2*($I$3+I$4)/(1/$I$1))</f>
        <v>6.4</v>
      </c>
      <c r="K208" s="117">
        <f>IF(I208=0,0,I208+2*($I$2+$I$3+$I$4)/(1/$I$1))</f>
        <v>6.4</v>
      </c>
      <c r="L208" s="116">
        <f>(J208+K208)/2</f>
        <v>6.4</v>
      </c>
      <c r="M208" s="116">
        <f>L208*$I$2</f>
        <v>0</v>
      </c>
      <c r="N208" s="126">
        <f>IF(I208=0,0,I208+2*$I$4/(1/$I$1))</f>
        <v>5.6</v>
      </c>
      <c r="O208" s="116">
        <f>IF(I208=0,0,I208+2*($I$3+$I$4)/(1/$I$1))</f>
        <v>6.4</v>
      </c>
      <c r="P208" s="126">
        <f>+(N208+O208)/2</f>
        <v>6</v>
      </c>
      <c r="Q208" s="126">
        <f>+P208*$I$3</f>
        <v>1.2000000000000002</v>
      </c>
      <c r="R208" s="127">
        <f>(2*ปร.4_1!$W$12)*B208</f>
        <v>0</v>
      </c>
      <c r="S208" s="127">
        <f>ปร.4_1!$Z$13*Soil!B208</f>
        <v>0</v>
      </c>
      <c r="T208" s="128">
        <f>IF(G208=0,0,(M208+M207)/2*B208)</f>
        <v>0</v>
      </c>
      <c r="U208" s="128">
        <f>IF(G208=0,0,(Q208+Q207)/2*B208)</f>
        <v>0</v>
      </c>
      <c r="V208" s="128">
        <f>+I208</f>
        <v>5</v>
      </c>
      <c r="W208" s="128">
        <f>N208</f>
        <v>5.6</v>
      </c>
      <c r="X208" s="128">
        <f>+(V208+W208)/2</f>
        <v>5.3</v>
      </c>
      <c r="Y208" s="128">
        <f>+X208*$I$4</f>
        <v>0.79499999999999993</v>
      </c>
      <c r="Z208" s="129">
        <f>IF(G208=0,0,(Y208+Y207)/2*B208)</f>
        <v>0</v>
      </c>
      <c r="AA208" s="128">
        <f>IF(G208=0,0,(G207+G208)/2*B208)</f>
        <v>0</v>
      </c>
      <c r="AB208" s="130">
        <f>IF(G208=0,0,(2*H207+2*H208)/2*B208)</f>
        <v>0</v>
      </c>
      <c r="AC208" s="131">
        <f>IF(G208&gt;0,B208,0)</f>
        <v>0</v>
      </c>
    </row>
    <row r="209" spans="1:32" hidden="1">
      <c r="A209" s="122">
        <f>A208+B209</f>
        <v>840</v>
      </c>
      <c r="B209" s="123"/>
      <c r="C209" s="113"/>
      <c r="D209" s="113"/>
      <c r="E209" s="124">
        <f>(C208+C209)/2*B209</f>
        <v>0</v>
      </c>
      <c r="F209" s="124">
        <f>+(D208+D209)/2*B209</f>
        <v>0</v>
      </c>
      <c r="G209" s="125">
        <f t="shared" si="130"/>
        <v>5</v>
      </c>
      <c r="H209" s="125">
        <f t="shared" si="131"/>
        <v>0</v>
      </c>
      <c r="I209" s="126">
        <f>+G209+2*H209</f>
        <v>5</v>
      </c>
      <c r="J209" s="116">
        <f>IF(I209=0,0,I209+2*($I$3+I$4)/(1/$I$1))</f>
        <v>6.4</v>
      </c>
      <c r="K209" s="117">
        <f>IF(I209=0,0,I209+2*($I$2+$I$3+$I$4)/(1/$I$1))</f>
        <v>6.4</v>
      </c>
      <c r="L209" s="116">
        <f>(J209+K209)/2</f>
        <v>6.4</v>
      </c>
      <c r="M209" s="116">
        <f>L209*$I$2</f>
        <v>0</v>
      </c>
      <c r="N209" s="126">
        <f>IF(I209=0,0,I209+2*$I$4/(1/$I$1))</f>
        <v>5.6</v>
      </c>
      <c r="O209" s="116">
        <f>IF(I209=0,0,I209+2*($I$3+$I$4)/(1/$I$1))</f>
        <v>6.4</v>
      </c>
      <c r="P209" s="126">
        <f>+(N209+O209)/2</f>
        <v>6</v>
      </c>
      <c r="Q209" s="126">
        <f>+P209*$I$3</f>
        <v>1.2000000000000002</v>
      </c>
      <c r="R209" s="127">
        <f>(2*ปร.4_1!$W$12)*B209</f>
        <v>0</v>
      </c>
      <c r="S209" s="127">
        <f>ปร.4_1!$Z$13*Soil!B209</f>
        <v>0</v>
      </c>
      <c r="T209" s="128">
        <f>IF(G209=0,0,(M209+M208)/2*B209)</f>
        <v>0</v>
      </c>
      <c r="U209" s="128">
        <f>IF(G209=0,0,(Q209+Q208)/2*B209)</f>
        <v>0</v>
      </c>
      <c r="V209" s="128">
        <f>+I209</f>
        <v>5</v>
      </c>
      <c r="W209" s="128">
        <f>N209</f>
        <v>5.6</v>
      </c>
      <c r="X209" s="128">
        <f>+(V209+W209)/2</f>
        <v>5.3</v>
      </c>
      <c r="Y209" s="128">
        <f>+X209*$I$4</f>
        <v>0.79499999999999993</v>
      </c>
      <c r="Z209" s="129">
        <f>IF(G209=0,0,(Y209+Y208)/2*B209)</f>
        <v>0</v>
      </c>
      <c r="AA209" s="128">
        <f>IF(G209=0,0,(G208+G209)/2*B209)</f>
        <v>0</v>
      </c>
      <c r="AB209" s="130">
        <f>IF(G209=0,0,(2*H208+2*H209)/2*B209)</f>
        <v>0</v>
      </c>
      <c r="AC209" s="131">
        <f>IF(G209&gt;0,B209,0)</f>
        <v>0</v>
      </c>
    </row>
    <row r="210" spans="1:32" s="137" customFormat="1">
      <c r="A210" s="1521" t="s">
        <v>26</v>
      </c>
      <c r="B210" s="1522"/>
      <c r="C210" s="1522"/>
      <c r="D210" s="1523"/>
      <c r="E210" s="132">
        <f>INT(SUM(E9:E209))</f>
        <v>0</v>
      </c>
      <c r="F210" s="132">
        <f>INT(SUM(F9:F209))</f>
        <v>0</v>
      </c>
      <c r="G210" s="1524"/>
      <c r="H210" s="1525"/>
      <c r="I210" s="1525"/>
      <c r="J210" s="1525"/>
      <c r="K210" s="1525"/>
      <c r="L210" s="1525"/>
      <c r="M210" s="1525"/>
      <c r="N210" s="1525"/>
      <c r="O210" s="1525"/>
      <c r="P210" s="1525"/>
      <c r="Q210" s="1526"/>
      <c r="R210" s="132">
        <f>SUM(R9:R209)</f>
        <v>3360</v>
      </c>
      <c r="S210" s="132">
        <f>SUM(S10:S43)</f>
        <v>4200</v>
      </c>
      <c r="T210" s="132">
        <f>INT(SUM(T9:T209))</f>
        <v>0</v>
      </c>
      <c r="U210" s="132">
        <f>INT(SUM(U9:U209))</f>
        <v>1008</v>
      </c>
      <c r="V210" s="1524"/>
      <c r="W210" s="1525"/>
      <c r="X210" s="1525"/>
      <c r="Y210" s="1526"/>
      <c r="Z210" s="132">
        <f>INT(SUM(Z9:Z209))</f>
        <v>667</v>
      </c>
      <c r="AA210" s="132">
        <f>INT(SUM(AA9:AA209))</f>
        <v>4200</v>
      </c>
      <c r="AB210" s="132">
        <f>INT(SUM(AB9:AB209))</f>
        <v>0</v>
      </c>
      <c r="AC210" s="133">
        <f>SUM(AC10:AC209)</f>
        <v>840</v>
      </c>
      <c r="AD210" s="134">
        <f>AC210/1000</f>
        <v>0.84</v>
      </c>
      <c r="AE210" s="135">
        <f>B1-AD210</f>
        <v>0</v>
      </c>
      <c r="AF210" s="136" t="str">
        <f>IF(AE210=0,"(OK)")</f>
        <v>(OK)</v>
      </c>
    </row>
    <row r="211" spans="1:32" ht="21.75" thickBot="1">
      <c r="A211" s="138"/>
      <c r="B211" s="139"/>
      <c r="C211" s="140"/>
      <c r="D211" s="141"/>
      <c r="E211" s="142"/>
      <c r="AB211" s="137"/>
    </row>
    <row r="212" spans="1:32" s="89" customFormat="1" ht="21.75" thickBot="1">
      <c r="A212" s="146"/>
      <c r="B212" s="147"/>
      <c r="C212" s="148" t="s">
        <v>3</v>
      </c>
      <c r="D212" s="149"/>
      <c r="E212" s="150"/>
      <c r="F212" s="151"/>
      <c r="G212" s="151"/>
      <c r="H212" s="151"/>
      <c r="I212" s="151"/>
      <c r="J212" s="151"/>
      <c r="K212" s="151"/>
      <c r="L212" s="151"/>
      <c r="M212" s="151"/>
      <c r="N212" s="152"/>
      <c r="S212" s="153"/>
      <c r="AA212" s="154"/>
      <c r="AB212" s="155"/>
      <c r="AC212" s="156"/>
    </row>
    <row r="213" spans="1:32" s="89" customFormat="1">
      <c r="A213" s="1512"/>
      <c r="B213" s="1513"/>
      <c r="C213" s="157">
        <v>1</v>
      </c>
      <c r="D213" s="158" t="s">
        <v>197</v>
      </c>
      <c r="E213" s="159"/>
      <c r="F213" s="159"/>
      <c r="G213" s="159"/>
      <c r="H213" s="160">
        <f>E210</f>
        <v>0</v>
      </c>
      <c r="I213" s="161" t="s">
        <v>6</v>
      </c>
      <c r="J213" s="162"/>
      <c r="K213" s="162"/>
      <c r="L213" s="162"/>
      <c r="M213" s="162"/>
      <c r="N213" s="163"/>
      <c r="AA213" s="83"/>
      <c r="AB213" s="83"/>
      <c r="AC213" s="156"/>
    </row>
    <row r="214" spans="1:32" s="89" customFormat="1">
      <c r="A214" s="146"/>
      <c r="B214" s="147"/>
      <c r="C214" s="164">
        <v>2</v>
      </c>
      <c r="D214" s="165" t="s">
        <v>211</v>
      </c>
      <c r="E214" s="166"/>
      <c r="F214" s="166"/>
      <c r="G214" s="166"/>
      <c r="H214" s="167">
        <f>F210</f>
        <v>0</v>
      </c>
      <c r="I214" s="168" t="s">
        <v>6</v>
      </c>
      <c r="J214" s="166"/>
      <c r="K214" s="166"/>
      <c r="L214" s="166"/>
      <c r="M214" s="166"/>
      <c r="N214" s="169"/>
      <c r="AA214" s="83"/>
      <c r="AB214" s="83"/>
      <c r="AC214" s="156"/>
    </row>
    <row r="215" spans="1:32" s="89" customFormat="1">
      <c r="A215" s="146"/>
      <c r="B215" s="147"/>
      <c r="C215" s="164">
        <v>3</v>
      </c>
      <c r="D215" s="165" t="s">
        <v>1308</v>
      </c>
      <c r="E215" s="170"/>
      <c r="F215" s="166"/>
      <c r="G215" s="171">
        <v>1</v>
      </c>
      <c r="H215" s="167">
        <f>IF(H214&gt;INT((E210*1.25/1.6)),INT((E210*1.25/1.6)*G215),H214)</f>
        <v>0</v>
      </c>
      <c r="I215" s="168" t="s">
        <v>6</v>
      </c>
      <c r="J215" s="166"/>
      <c r="K215" s="166"/>
      <c r="L215" s="166"/>
      <c r="M215" s="166"/>
      <c r="N215" s="169"/>
      <c r="AA215" s="83"/>
      <c r="AB215" s="83"/>
    </row>
    <row r="216" spans="1:32" s="89" customFormat="1">
      <c r="A216" s="146"/>
      <c r="B216" s="147"/>
      <c r="C216" s="164">
        <v>4</v>
      </c>
      <c r="D216" s="165" t="s">
        <v>1309</v>
      </c>
      <c r="E216" s="170"/>
      <c r="F216" s="166"/>
      <c r="G216" s="166"/>
      <c r="H216" s="167">
        <f>IF(H214&gt;H215,H214-H215,0)</f>
        <v>0</v>
      </c>
      <c r="I216" s="168" t="s">
        <v>6</v>
      </c>
      <c r="J216" s="166"/>
      <c r="K216" s="166"/>
      <c r="L216" s="166"/>
      <c r="M216" s="166"/>
      <c r="N216" s="169"/>
      <c r="AA216" s="83"/>
      <c r="AB216" s="83"/>
    </row>
    <row r="217" spans="1:32" s="89" customFormat="1" ht="21.75" thickBot="1">
      <c r="A217" s="146"/>
      <c r="B217" s="147"/>
      <c r="C217" s="172" t="s">
        <v>1310</v>
      </c>
      <c r="D217" s="173"/>
      <c r="E217" s="173"/>
      <c r="F217" s="173"/>
      <c r="G217" s="173"/>
      <c r="H217" s="174"/>
      <c r="I217" s="175"/>
      <c r="J217" s="175"/>
      <c r="K217" s="175"/>
      <c r="L217" s="175"/>
      <c r="M217" s="175"/>
      <c r="N217" s="176"/>
      <c r="AA217" s="83"/>
      <c r="AB217" s="83"/>
    </row>
    <row r="218" spans="1:32" s="89" customFormat="1">
      <c r="A218" s="146"/>
      <c r="B218" s="147"/>
      <c r="C218" s="177" t="s">
        <v>1343</v>
      </c>
      <c r="D218" s="177"/>
      <c r="E218" s="178"/>
      <c r="H218" s="167">
        <f>IF(H213&gt;H214,H213-H214,0)</f>
        <v>0</v>
      </c>
      <c r="I218" s="89" t="s">
        <v>6</v>
      </c>
      <c r="S218" s="179" t="s">
        <v>1290</v>
      </c>
      <c r="T218" s="179" t="s">
        <v>1311</v>
      </c>
      <c r="U218" s="179" t="s">
        <v>1311</v>
      </c>
      <c r="Y218" s="179" t="s">
        <v>1290</v>
      </c>
      <c r="Z218" s="179" t="s">
        <v>1311</v>
      </c>
      <c r="AA218" s="179" t="s">
        <v>1312</v>
      </c>
      <c r="AB218" s="179" t="s">
        <v>43</v>
      </c>
      <c r="AC218" s="180" t="s">
        <v>1313</v>
      </c>
      <c r="AD218" s="181">
        <v>0</v>
      </c>
    </row>
    <row r="219" spans="1:32" s="89" customFormat="1">
      <c r="A219" s="146"/>
      <c r="B219" s="147"/>
      <c r="C219" s="177"/>
      <c r="D219" s="177"/>
      <c r="E219" s="178"/>
      <c r="T219" s="179">
        <f>$AC$210-AD$218</f>
        <v>840</v>
      </c>
      <c r="U219" s="179">
        <f>$AC$210-AD$218</f>
        <v>840</v>
      </c>
      <c r="Z219" s="179">
        <f>$AC$210-$AD$218</f>
        <v>840</v>
      </c>
      <c r="AA219" s="179">
        <f>$AC$210-$AD$218</f>
        <v>840</v>
      </c>
      <c r="AB219" s="179">
        <f>$AC$210-$AD$218</f>
        <v>840</v>
      </c>
      <c r="AC219" s="177"/>
    </row>
    <row r="220" spans="1:32" s="89" customFormat="1">
      <c r="A220" s="146"/>
      <c r="B220" s="147"/>
      <c r="C220" s="177"/>
      <c r="D220" s="177"/>
      <c r="E220" s="178"/>
      <c r="T220" s="182">
        <f>INT(T219*L9*0.2)</f>
        <v>1075</v>
      </c>
      <c r="U220" s="182">
        <f>INT(U219*P9*0.2)</f>
        <v>1008</v>
      </c>
      <c r="Z220" s="179">
        <f>Z219*X9*0.2</f>
        <v>890.40000000000009</v>
      </c>
      <c r="AA220" s="179">
        <f>AA219*G9</f>
        <v>4200</v>
      </c>
      <c r="AB220" s="179">
        <f>AB219*(H9*2)</f>
        <v>0</v>
      </c>
      <c r="AC220" s="177"/>
    </row>
    <row r="221" spans="1:32" s="89" customFormat="1">
      <c r="A221" s="146"/>
      <c r="B221" s="147"/>
      <c r="C221" s="177"/>
      <c r="D221" s="153"/>
      <c r="E221" s="178"/>
      <c r="T221" s="135">
        <f>INT(T210-T220)</f>
        <v>-1075</v>
      </c>
      <c r="U221" s="135">
        <f>INT(U210-U220)</f>
        <v>0</v>
      </c>
      <c r="Z221" s="135">
        <f>INT(Z210-Z220)</f>
        <v>-224</v>
      </c>
      <c r="AA221" s="135">
        <f>INT(AA210-AA220)</f>
        <v>0</v>
      </c>
      <c r="AB221" s="135">
        <f>INT(AB210-AB220)</f>
        <v>0</v>
      </c>
    </row>
    <row r="222" spans="1:32" s="89" customFormat="1">
      <c r="A222" s="146"/>
      <c r="B222" s="147"/>
      <c r="C222" s="177"/>
      <c r="D222" s="153"/>
      <c r="E222" s="178"/>
      <c r="AA222" s="83"/>
      <c r="AB222" s="83"/>
    </row>
    <row r="223" spans="1:32" s="89" customFormat="1">
      <c r="A223" s="146"/>
      <c r="B223" s="147"/>
      <c r="C223" s="177"/>
      <c r="D223" s="153"/>
      <c r="E223" s="178"/>
      <c r="AA223" s="83"/>
      <c r="AB223" s="83"/>
    </row>
    <row r="224" spans="1:32" s="89" customFormat="1">
      <c r="A224" s="146"/>
      <c r="B224" s="147"/>
      <c r="C224" s="177"/>
      <c r="D224" s="153"/>
      <c r="E224" s="178"/>
      <c r="AA224" s="83"/>
      <c r="AB224" s="83"/>
    </row>
    <row r="225" spans="1:28" s="89" customFormat="1">
      <c r="A225" s="146"/>
      <c r="B225" s="147"/>
      <c r="C225" s="177"/>
      <c r="D225" s="153"/>
      <c r="E225" s="178"/>
      <c r="AA225" s="83"/>
      <c r="AB225" s="83"/>
    </row>
    <row r="226" spans="1:28" s="89" customFormat="1">
      <c r="A226" s="146"/>
      <c r="B226" s="147"/>
      <c r="C226" s="177"/>
      <c r="D226" s="153"/>
      <c r="E226" s="178"/>
      <c r="AA226" s="83"/>
      <c r="AB226" s="83"/>
    </row>
    <row r="227" spans="1:28" s="89" customFormat="1">
      <c r="A227" s="146"/>
      <c r="B227" s="147"/>
      <c r="C227" s="177"/>
      <c r="D227" s="153"/>
      <c r="E227" s="178"/>
      <c r="AA227" s="83"/>
      <c r="AB227" s="83"/>
    </row>
    <row r="228" spans="1:28" s="89" customFormat="1">
      <c r="A228" s="146"/>
      <c r="B228" s="147"/>
      <c r="C228" s="177"/>
      <c r="D228" s="153"/>
      <c r="E228" s="178"/>
      <c r="AA228" s="83"/>
      <c r="AB228" s="83"/>
    </row>
    <row r="229" spans="1:28" s="89" customFormat="1">
      <c r="A229" s="146"/>
      <c r="B229" s="147"/>
      <c r="C229" s="177"/>
      <c r="D229" s="153"/>
      <c r="E229" s="178"/>
      <c r="AA229" s="83"/>
      <c r="AB229" s="83"/>
    </row>
    <row r="230" spans="1:28" s="89" customFormat="1">
      <c r="A230" s="146"/>
      <c r="B230" s="147"/>
      <c r="C230" s="177"/>
      <c r="D230" s="153"/>
      <c r="E230" s="178"/>
      <c r="AA230" s="83"/>
      <c r="AB230" s="83"/>
    </row>
    <row r="231" spans="1:28" s="89" customFormat="1">
      <c r="A231" s="146"/>
      <c r="B231" s="147"/>
      <c r="C231" s="177"/>
      <c r="D231" s="153"/>
      <c r="E231" s="178"/>
      <c r="AA231" s="83"/>
      <c r="AB231" s="83"/>
    </row>
    <row r="232" spans="1:28" s="89" customFormat="1">
      <c r="A232" s="146"/>
      <c r="B232" s="147"/>
      <c r="C232" s="177"/>
      <c r="D232" s="153"/>
      <c r="E232" s="178"/>
      <c r="AA232" s="83"/>
      <c r="AB232" s="83"/>
    </row>
    <row r="233" spans="1:28" s="89" customFormat="1">
      <c r="A233" s="146"/>
      <c r="B233" s="147"/>
      <c r="C233" s="177"/>
      <c r="D233" s="153"/>
      <c r="E233" s="178"/>
      <c r="AA233" s="83"/>
      <c r="AB233" s="83"/>
    </row>
    <row r="234" spans="1:28" s="89" customFormat="1">
      <c r="A234" s="146"/>
      <c r="B234" s="147"/>
      <c r="C234" s="177"/>
      <c r="D234" s="153"/>
      <c r="E234" s="178"/>
      <c r="AA234" s="83"/>
      <c r="AB234" s="83"/>
    </row>
    <row r="235" spans="1:28" s="89" customFormat="1">
      <c r="A235" s="146"/>
      <c r="B235" s="147"/>
      <c r="C235" s="177"/>
      <c r="D235" s="153"/>
      <c r="E235" s="178"/>
      <c r="AA235" s="83"/>
      <c r="AB235" s="83"/>
    </row>
    <row r="236" spans="1:28" s="89" customFormat="1">
      <c r="A236" s="146"/>
      <c r="B236" s="147"/>
      <c r="C236" s="177"/>
      <c r="D236" s="153"/>
      <c r="E236" s="178"/>
      <c r="AA236" s="83"/>
      <c r="AB236" s="83"/>
    </row>
    <row r="237" spans="1:28" s="89" customFormat="1">
      <c r="A237" s="146"/>
      <c r="B237" s="147"/>
      <c r="C237" s="177"/>
      <c r="D237" s="153"/>
      <c r="E237" s="178"/>
      <c r="AA237" s="83"/>
      <c r="AB237" s="83"/>
    </row>
    <row r="238" spans="1:28" s="89" customFormat="1">
      <c r="A238" s="146"/>
      <c r="B238" s="147"/>
      <c r="C238" s="177"/>
      <c r="D238" s="153"/>
      <c r="E238" s="178"/>
      <c r="AA238" s="83"/>
      <c r="AB238" s="83"/>
    </row>
    <row r="239" spans="1:28" s="89" customFormat="1">
      <c r="A239" s="146"/>
      <c r="B239" s="147"/>
      <c r="C239" s="177"/>
      <c r="D239" s="153"/>
      <c r="E239" s="178"/>
      <c r="AA239" s="83"/>
      <c r="AB239" s="83"/>
    </row>
    <row r="240" spans="1:28" s="89" customFormat="1">
      <c r="A240" s="146"/>
      <c r="B240" s="147"/>
      <c r="C240" s="177"/>
      <c r="D240" s="153"/>
      <c r="E240" s="178"/>
      <c r="AA240" s="83"/>
      <c r="AB240" s="83"/>
    </row>
    <row r="241" spans="1:28" s="89" customFormat="1">
      <c r="A241" s="146"/>
      <c r="B241" s="147"/>
      <c r="C241" s="177"/>
      <c r="D241" s="153"/>
      <c r="E241" s="178"/>
      <c r="AA241" s="83"/>
      <c r="AB241" s="83"/>
    </row>
    <row r="242" spans="1:28" s="89" customFormat="1">
      <c r="A242" s="146"/>
      <c r="B242" s="147"/>
      <c r="C242" s="177"/>
      <c r="D242" s="153"/>
      <c r="E242" s="178"/>
      <c r="AA242" s="83"/>
      <c r="AB242" s="83"/>
    </row>
    <row r="243" spans="1:28" s="89" customFormat="1">
      <c r="A243" s="146"/>
      <c r="B243" s="147"/>
      <c r="C243" s="177"/>
      <c r="D243" s="153"/>
      <c r="E243" s="178"/>
      <c r="AA243" s="83"/>
      <c r="AB243" s="83"/>
    </row>
    <row r="244" spans="1:28" s="89" customFormat="1">
      <c r="A244" s="146"/>
      <c r="B244" s="147"/>
      <c r="C244" s="177"/>
      <c r="D244" s="153"/>
      <c r="E244" s="178"/>
      <c r="AA244" s="83"/>
      <c r="AB244" s="83"/>
    </row>
    <row r="245" spans="1:28" s="89" customFormat="1">
      <c r="A245" s="146"/>
      <c r="B245" s="147"/>
      <c r="C245" s="177"/>
      <c r="D245" s="153"/>
      <c r="E245" s="178"/>
      <c r="AA245" s="83"/>
      <c r="AB245" s="83"/>
    </row>
    <row r="246" spans="1:28" s="89" customFormat="1">
      <c r="A246" s="146"/>
      <c r="B246" s="147"/>
      <c r="C246" s="177"/>
      <c r="D246" s="153"/>
      <c r="E246" s="178"/>
      <c r="AA246" s="83"/>
      <c r="AB246" s="83"/>
    </row>
    <row r="247" spans="1:28" s="89" customFormat="1">
      <c r="A247" s="146"/>
      <c r="B247" s="147"/>
      <c r="C247" s="177"/>
      <c r="D247" s="153"/>
      <c r="E247" s="178"/>
      <c r="AA247" s="83"/>
      <c r="AB247" s="83"/>
    </row>
    <row r="248" spans="1:28" s="89" customFormat="1">
      <c r="A248" s="146"/>
      <c r="B248" s="147"/>
      <c r="C248" s="177"/>
      <c r="D248" s="153"/>
      <c r="E248" s="178"/>
      <c r="AA248" s="83"/>
      <c r="AB248" s="83"/>
    </row>
    <row r="249" spans="1:28" s="89" customFormat="1">
      <c r="A249" s="146"/>
      <c r="B249" s="147"/>
      <c r="C249" s="177"/>
      <c r="D249" s="153"/>
      <c r="E249" s="178"/>
      <c r="AA249" s="83"/>
      <c r="AB249" s="83"/>
    </row>
    <row r="250" spans="1:28" s="89" customFormat="1">
      <c r="A250" s="146"/>
      <c r="B250" s="147"/>
      <c r="C250" s="177"/>
      <c r="D250" s="153"/>
      <c r="E250" s="178"/>
      <c r="AA250" s="83"/>
      <c r="AB250" s="83"/>
    </row>
    <row r="251" spans="1:28" s="89" customFormat="1">
      <c r="A251" s="146"/>
      <c r="B251" s="147"/>
      <c r="C251" s="177"/>
      <c r="D251" s="153"/>
      <c r="E251" s="178"/>
      <c r="AA251" s="83"/>
      <c r="AB251" s="83"/>
    </row>
    <row r="252" spans="1:28" s="89" customFormat="1">
      <c r="A252" s="146"/>
      <c r="B252" s="147"/>
      <c r="C252" s="177"/>
      <c r="D252" s="153"/>
      <c r="E252" s="178"/>
      <c r="AA252" s="83"/>
      <c r="AB252" s="83"/>
    </row>
    <row r="253" spans="1:28" s="89" customFormat="1">
      <c r="A253" s="146"/>
      <c r="B253" s="147"/>
      <c r="C253" s="177"/>
      <c r="D253" s="153"/>
      <c r="E253" s="178"/>
      <c r="AA253" s="83"/>
      <c r="AB253" s="83"/>
    </row>
    <row r="254" spans="1:28" s="89" customFormat="1">
      <c r="A254" s="146"/>
      <c r="B254" s="147"/>
      <c r="C254" s="177"/>
      <c r="D254" s="153"/>
      <c r="E254" s="178"/>
      <c r="AA254" s="83"/>
      <c r="AB254" s="83"/>
    </row>
    <row r="255" spans="1:28" s="89" customFormat="1">
      <c r="A255" s="146"/>
      <c r="B255" s="147"/>
      <c r="C255" s="177"/>
      <c r="D255" s="153"/>
      <c r="E255" s="178"/>
      <c r="AA255" s="83"/>
      <c r="AB255" s="83"/>
    </row>
    <row r="256" spans="1:28" s="89" customFormat="1">
      <c r="A256" s="146"/>
      <c r="B256" s="147"/>
      <c r="C256" s="177"/>
      <c r="D256" s="153"/>
      <c r="E256" s="178"/>
      <c r="AA256" s="83"/>
      <c r="AB256" s="83"/>
    </row>
    <row r="257" spans="1:32" s="89" customFormat="1">
      <c r="A257" s="146"/>
      <c r="B257" s="147"/>
      <c r="C257" s="177"/>
      <c r="D257" s="153"/>
      <c r="E257" s="178"/>
      <c r="AA257" s="83"/>
      <c r="AB257" s="83"/>
    </row>
    <row r="258" spans="1:32" s="89" customFormat="1">
      <c r="A258" s="146"/>
      <c r="B258" s="147"/>
      <c r="C258" s="177"/>
      <c r="D258" s="153"/>
      <c r="E258" s="178"/>
      <c r="AA258" s="83"/>
      <c r="AB258" s="83"/>
    </row>
    <row r="259" spans="1:32" s="89" customFormat="1">
      <c r="A259" s="146"/>
      <c r="B259" s="147"/>
      <c r="C259" s="177"/>
      <c r="D259" s="153"/>
      <c r="E259" s="178"/>
      <c r="AA259" s="83"/>
      <c r="AB259" s="83"/>
    </row>
    <row r="260" spans="1:32" s="89" customFormat="1">
      <c r="A260" s="146"/>
      <c r="B260" s="147"/>
      <c r="C260" s="177"/>
      <c r="D260" s="153"/>
      <c r="E260" s="178"/>
      <c r="AA260" s="83"/>
      <c r="AB260" s="83"/>
    </row>
    <row r="261" spans="1:32" s="89" customFormat="1">
      <c r="A261" s="146"/>
      <c r="B261" s="147"/>
      <c r="C261" s="177"/>
      <c r="D261" s="153"/>
      <c r="E261" s="178"/>
      <c r="AA261" s="83"/>
      <c r="AB261" s="83"/>
    </row>
    <row r="262" spans="1:32" s="89" customFormat="1">
      <c r="A262" s="146"/>
      <c r="B262" s="147"/>
      <c r="C262" s="177"/>
      <c r="D262" s="153"/>
      <c r="E262" s="178"/>
      <c r="AA262" s="83"/>
      <c r="AB262" s="83"/>
    </row>
    <row r="263" spans="1:32" s="89" customFormat="1">
      <c r="A263" s="146"/>
      <c r="B263" s="147"/>
      <c r="C263" s="177"/>
      <c r="D263" s="153"/>
      <c r="E263" s="178"/>
      <c r="AA263" s="83"/>
      <c r="AB263" s="83"/>
    </row>
    <row r="264" spans="1:32" s="89" customFormat="1">
      <c r="A264" s="146"/>
      <c r="B264" s="147"/>
      <c r="C264" s="177"/>
      <c r="D264" s="153"/>
      <c r="E264" s="178"/>
      <c r="AA264" s="83"/>
      <c r="AB264" s="83"/>
    </row>
    <row r="265" spans="1:32" s="89" customFormat="1">
      <c r="A265" s="146"/>
      <c r="B265" s="147"/>
      <c r="C265" s="177"/>
      <c r="D265" s="153"/>
      <c r="E265" s="178"/>
      <c r="AA265" s="83"/>
      <c r="AB265" s="83"/>
    </row>
    <row r="266" spans="1:32" s="89" customFormat="1">
      <c r="A266" s="146"/>
      <c r="B266" s="147"/>
      <c r="C266" s="177"/>
      <c r="D266" s="153"/>
      <c r="E266" s="178"/>
      <c r="AA266" s="83"/>
      <c r="AB266" s="83"/>
    </row>
    <row r="267" spans="1:32" s="89" customFormat="1">
      <c r="A267" s="146"/>
      <c r="B267" s="147"/>
      <c r="C267" s="177"/>
      <c r="D267" s="153"/>
      <c r="E267" s="178"/>
      <c r="AA267" s="83"/>
      <c r="AB267" s="83"/>
    </row>
    <row r="268" spans="1:32" s="89" customFormat="1">
      <c r="A268" s="146"/>
      <c r="B268" s="147"/>
      <c r="C268" s="177"/>
      <c r="D268" s="153"/>
      <c r="E268" s="178"/>
      <c r="AA268" s="83"/>
      <c r="AB268" s="83"/>
    </row>
    <row r="269" spans="1:32" s="89" customFormat="1">
      <c r="A269" s="146"/>
      <c r="B269" s="147"/>
      <c r="C269" s="177"/>
      <c r="D269" s="153"/>
      <c r="E269" s="178"/>
      <c r="AA269" s="83"/>
      <c r="AB269" s="83"/>
    </row>
    <row r="270" spans="1:32" s="89" customFormat="1">
      <c r="A270" s="146"/>
      <c r="B270" s="147"/>
      <c r="C270" s="177"/>
      <c r="D270" s="153"/>
      <c r="E270" s="178"/>
      <c r="AA270" s="83"/>
      <c r="AB270" s="83"/>
    </row>
    <row r="271" spans="1:32" s="187" customFormat="1">
      <c r="A271" s="183"/>
      <c r="B271" s="184"/>
      <c r="C271" s="140"/>
      <c r="D271" s="141"/>
      <c r="E271" s="142"/>
      <c r="F271" s="185"/>
      <c r="G271" s="186"/>
      <c r="H271" s="186"/>
      <c r="S271" s="185"/>
      <c r="T271" s="185"/>
      <c r="U271" s="185"/>
      <c r="V271" s="185"/>
      <c r="W271" s="185"/>
      <c r="X271" s="185"/>
      <c r="Y271" s="185"/>
      <c r="Z271" s="185"/>
      <c r="AA271" s="81"/>
      <c r="AB271" s="81"/>
      <c r="AC271" s="88"/>
      <c r="AD271" s="89"/>
      <c r="AE271" s="89"/>
      <c r="AF271" s="89"/>
    </row>
    <row r="272" spans="1:32" s="187" customFormat="1">
      <c r="A272" s="183"/>
      <c r="B272" s="184"/>
      <c r="C272" s="140"/>
      <c r="D272" s="141"/>
      <c r="E272" s="142"/>
      <c r="F272" s="185"/>
      <c r="G272" s="186"/>
      <c r="H272" s="186"/>
      <c r="S272" s="185"/>
      <c r="T272" s="185"/>
      <c r="U272" s="185"/>
      <c r="V272" s="185"/>
      <c r="W272" s="185"/>
      <c r="X272" s="185"/>
      <c r="Y272" s="185"/>
      <c r="Z272" s="185"/>
      <c r="AA272" s="81"/>
      <c r="AB272" s="81"/>
      <c r="AC272" s="88"/>
      <c r="AD272" s="89"/>
      <c r="AE272" s="89"/>
      <c r="AF272" s="89"/>
    </row>
    <row r="273" spans="1:32" s="187" customFormat="1">
      <c r="A273" s="183"/>
      <c r="B273" s="184"/>
      <c r="C273" s="140"/>
      <c r="D273" s="141"/>
      <c r="E273" s="142"/>
      <c r="F273" s="185"/>
      <c r="G273" s="186"/>
      <c r="H273" s="186"/>
      <c r="S273" s="185"/>
      <c r="T273" s="185"/>
      <c r="U273" s="185"/>
      <c r="V273" s="185"/>
      <c r="W273" s="185"/>
      <c r="X273" s="185"/>
      <c r="Y273" s="185"/>
      <c r="Z273" s="185"/>
      <c r="AA273" s="81"/>
      <c r="AB273" s="81"/>
      <c r="AC273" s="88"/>
      <c r="AD273" s="89"/>
      <c r="AE273" s="89"/>
      <c r="AF273" s="89"/>
    </row>
    <row r="274" spans="1:32" s="187" customFormat="1">
      <c r="A274" s="183"/>
      <c r="B274" s="184"/>
      <c r="C274" s="140"/>
      <c r="D274" s="141"/>
      <c r="E274" s="142"/>
      <c r="F274" s="185"/>
      <c r="G274" s="186"/>
      <c r="H274" s="186"/>
      <c r="S274" s="185"/>
      <c r="T274" s="185"/>
      <c r="U274" s="185"/>
      <c r="V274" s="185"/>
      <c r="W274" s="185"/>
      <c r="X274" s="185"/>
      <c r="Y274" s="185"/>
      <c r="Z274" s="185"/>
      <c r="AA274" s="81"/>
      <c r="AB274" s="81"/>
      <c r="AC274" s="88"/>
      <c r="AD274" s="89"/>
      <c r="AE274" s="89"/>
      <c r="AF274" s="89"/>
    </row>
    <row r="275" spans="1:32" s="187" customFormat="1">
      <c r="A275" s="183"/>
      <c r="B275" s="184"/>
      <c r="C275" s="140"/>
      <c r="D275" s="141"/>
      <c r="E275" s="142"/>
      <c r="F275" s="185"/>
      <c r="G275" s="186"/>
      <c r="H275" s="186"/>
      <c r="S275" s="185"/>
      <c r="T275" s="185"/>
      <c r="U275" s="185"/>
      <c r="V275" s="185"/>
      <c r="W275" s="185"/>
      <c r="X275" s="185"/>
      <c r="Y275" s="185"/>
      <c r="Z275" s="185"/>
      <c r="AA275" s="81"/>
      <c r="AB275" s="81"/>
      <c r="AC275" s="88"/>
      <c r="AD275" s="89"/>
      <c r="AE275" s="89"/>
      <c r="AF275" s="89"/>
    </row>
    <row r="276" spans="1:32">
      <c r="A276" s="138"/>
      <c r="B276" s="139"/>
      <c r="C276" s="140"/>
      <c r="D276" s="141"/>
      <c r="E276" s="188"/>
    </row>
    <row r="277" spans="1:32">
      <c r="A277" s="138"/>
      <c r="B277" s="139"/>
      <c r="C277" s="140"/>
      <c r="D277" s="141"/>
      <c r="E277" s="188"/>
    </row>
    <row r="278" spans="1:32">
      <c r="A278" s="138"/>
      <c r="B278" s="139"/>
      <c r="C278" s="140"/>
      <c r="D278" s="141"/>
      <c r="E278" s="188"/>
    </row>
    <row r="279" spans="1:32">
      <c r="A279" s="138"/>
      <c r="B279" s="139"/>
      <c r="C279" s="140"/>
      <c r="D279" s="141"/>
      <c r="E279" s="188"/>
    </row>
    <row r="280" spans="1:32">
      <c r="A280" s="138"/>
      <c r="B280" s="139"/>
      <c r="C280" s="140"/>
      <c r="D280" s="141"/>
      <c r="E280" s="188"/>
    </row>
    <row r="281" spans="1:32">
      <c r="A281" s="138"/>
      <c r="B281" s="139"/>
      <c r="C281" s="140"/>
      <c r="D281" s="141"/>
      <c r="E281" s="188"/>
    </row>
    <row r="282" spans="1:32">
      <c r="A282" s="138"/>
      <c r="B282" s="139"/>
      <c r="C282" s="140"/>
      <c r="D282" s="141"/>
      <c r="E282" s="188"/>
    </row>
    <row r="283" spans="1:32">
      <c r="A283" s="138"/>
      <c r="B283" s="139"/>
      <c r="C283" s="140"/>
      <c r="D283" s="141"/>
      <c r="E283" s="188"/>
    </row>
    <row r="284" spans="1:32">
      <c r="A284" s="138"/>
      <c r="B284" s="139"/>
      <c r="C284" s="140"/>
      <c r="D284" s="141"/>
      <c r="E284" s="188"/>
    </row>
    <row r="285" spans="1:32">
      <c r="A285" s="138"/>
      <c r="B285" s="139"/>
      <c r="C285" s="140"/>
      <c r="D285" s="141"/>
      <c r="E285" s="188"/>
    </row>
    <row r="286" spans="1:32">
      <c r="A286" s="138"/>
      <c r="B286" s="139"/>
      <c r="C286" s="140"/>
      <c r="D286" s="141"/>
      <c r="E286" s="188"/>
    </row>
    <row r="287" spans="1:32">
      <c r="A287" s="138"/>
      <c r="B287" s="139"/>
      <c r="C287" s="140"/>
      <c r="D287" s="141"/>
      <c r="E287" s="188"/>
    </row>
    <row r="288" spans="1:32">
      <c r="A288" s="138"/>
      <c r="B288" s="139"/>
      <c r="C288" s="140"/>
      <c r="D288" s="141"/>
      <c r="E288" s="188"/>
    </row>
    <row r="289" spans="1:5">
      <c r="A289" s="138"/>
      <c r="B289" s="139"/>
      <c r="C289" s="140"/>
      <c r="D289" s="141"/>
      <c r="E289" s="188"/>
    </row>
    <row r="290" spans="1:5">
      <c r="A290" s="138"/>
      <c r="B290" s="139"/>
      <c r="C290" s="140"/>
      <c r="D290" s="141"/>
      <c r="E290" s="188"/>
    </row>
    <row r="291" spans="1:5">
      <c r="A291" s="138"/>
      <c r="B291" s="139"/>
      <c r="C291" s="140"/>
      <c r="D291" s="141"/>
      <c r="E291" s="188"/>
    </row>
    <row r="292" spans="1:5">
      <c r="A292" s="138"/>
      <c r="B292" s="139"/>
      <c r="C292" s="140"/>
      <c r="D292" s="141"/>
      <c r="E292" s="188"/>
    </row>
    <row r="293" spans="1:5">
      <c r="A293" s="138"/>
      <c r="B293" s="139"/>
      <c r="C293" s="140"/>
      <c r="D293" s="141"/>
      <c r="E293" s="188"/>
    </row>
    <row r="294" spans="1:5">
      <c r="A294" s="138"/>
      <c r="B294" s="139"/>
      <c r="C294" s="140"/>
      <c r="D294" s="141"/>
      <c r="E294" s="188"/>
    </row>
    <row r="295" spans="1:5">
      <c r="A295" s="138"/>
      <c r="B295" s="139"/>
      <c r="C295" s="140"/>
      <c r="D295" s="141"/>
      <c r="E295" s="188"/>
    </row>
    <row r="296" spans="1:5">
      <c r="A296" s="138"/>
      <c r="B296" s="139"/>
      <c r="C296" s="140"/>
      <c r="D296" s="141"/>
      <c r="E296" s="188"/>
    </row>
    <row r="297" spans="1:5">
      <c r="A297" s="138"/>
      <c r="B297" s="139"/>
      <c r="C297" s="140"/>
      <c r="D297" s="141"/>
      <c r="E297" s="188"/>
    </row>
    <row r="298" spans="1:5">
      <c r="A298" s="138"/>
      <c r="B298" s="139"/>
      <c r="C298" s="140"/>
      <c r="D298" s="141"/>
      <c r="E298" s="188"/>
    </row>
    <row r="299" spans="1:5">
      <c r="A299" s="138"/>
      <c r="B299" s="139"/>
      <c r="C299" s="140"/>
      <c r="D299" s="141"/>
      <c r="E299" s="188"/>
    </row>
    <row r="300" spans="1:5">
      <c r="A300" s="138"/>
      <c r="B300" s="139"/>
      <c r="C300" s="140"/>
      <c r="D300" s="141"/>
      <c r="E300" s="188"/>
    </row>
    <row r="301" spans="1:5">
      <c r="A301" s="138"/>
      <c r="B301" s="139"/>
      <c r="C301" s="140"/>
      <c r="D301" s="141"/>
      <c r="E301" s="188"/>
    </row>
    <row r="302" spans="1:5">
      <c r="A302" s="138"/>
      <c r="B302" s="139"/>
      <c r="C302" s="140"/>
      <c r="D302" s="141"/>
      <c r="E302" s="188"/>
    </row>
    <row r="303" spans="1:5">
      <c r="A303" s="138"/>
      <c r="B303" s="139"/>
      <c r="C303" s="140"/>
      <c r="D303" s="141"/>
      <c r="E303" s="188"/>
    </row>
    <row r="304" spans="1:5">
      <c r="A304" s="138"/>
      <c r="B304" s="139"/>
      <c r="C304" s="140"/>
      <c r="D304" s="141"/>
      <c r="E304" s="188"/>
    </row>
    <row r="305" spans="1:5">
      <c r="A305" s="138"/>
      <c r="B305" s="139"/>
      <c r="C305" s="140"/>
      <c r="D305" s="141"/>
      <c r="E305" s="188"/>
    </row>
    <row r="306" spans="1:5">
      <c r="A306" s="138"/>
      <c r="B306" s="139"/>
      <c r="C306" s="140"/>
      <c r="D306" s="141"/>
      <c r="E306" s="188"/>
    </row>
    <row r="307" spans="1:5">
      <c r="A307" s="138"/>
      <c r="B307" s="139"/>
      <c r="C307" s="140"/>
      <c r="D307" s="141"/>
      <c r="E307" s="188"/>
    </row>
    <row r="308" spans="1:5">
      <c r="A308" s="138"/>
      <c r="B308" s="139"/>
      <c r="C308" s="140"/>
      <c r="D308" s="141"/>
      <c r="E308" s="188"/>
    </row>
    <row r="309" spans="1:5">
      <c r="A309" s="138"/>
      <c r="B309" s="139"/>
      <c r="C309" s="140"/>
      <c r="D309" s="141"/>
      <c r="E309" s="188"/>
    </row>
    <row r="310" spans="1:5">
      <c r="A310" s="138"/>
      <c r="B310" s="139"/>
      <c r="C310" s="140"/>
      <c r="D310" s="141"/>
      <c r="E310" s="188"/>
    </row>
    <row r="311" spans="1:5">
      <c r="A311" s="138"/>
      <c r="B311" s="139"/>
      <c r="C311" s="140"/>
      <c r="D311" s="141"/>
      <c r="E311" s="188"/>
    </row>
    <row r="312" spans="1:5">
      <c r="A312" s="138"/>
      <c r="B312" s="139"/>
      <c r="C312" s="140"/>
      <c r="D312" s="141"/>
      <c r="E312" s="188"/>
    </row>
    <row r="313" spans="1:5">
      <c r="A313" s="138"/>
      <c r="B313" s="139"/>
      <c r="C313" s="140"/>
      <c r="D313" s="141"/>
      <c r="E313" s="188"/>
    </row>
    <row r="314" spans="1:5">
      <c r="A314" s="138"/>
      <c r="B314" s="139"/>
      <c r="C314" s="140"/>
      <c r="D314" s="141"/>
      <c r="E314" s="188"/>
    </row>
    <row r="315" spans="1:5">
      <c r="A315" s="138"/>
      <c r="B315" s="139"/>
      <c r="C315" s="140"/>
      <c r="D315" s="141"/>
      <c r="E315" s="188"/>
    </row>
    <row r="316" spans="1:5">
      <c r="A316" s="138"/>
      <c r="B316" s="139"/>
      <c r="C316" s="140"/>
      <c r="D316" s="141"/>
      <c r="E316" s="188"/>
    </row>
    <row r="317" spans="1:5">
      <c r="A317" s="138"/>
      <c r="B317" s="139"/>
      <c r="C317" s="140"/>
      <c r="D317" s="141"/>
      <c r="E317" s="188"/>
    </row>
    <row r="318" spans="1:5">
      <c r="A318" s="138"/>
      <c r="B318" s="139"/>
      <c r="C318" s="140"/>
      <c r="D318" s="141"/>
      <c r="E318" s="188"/>
    </row>
    <row r="319" spans="1:5">
      <c r="A319" s="138"/>
      <c r="B319" s="139"/>
      <c r="C319" s="140"/>
      <c r="D319" s="141"/>
      <c r="E319" s="188"/>
    </row>
    <row r="320" spans="1:5">
      <c r="A320" s="138"/>
      <c r="B320" s="139"/>
      <c r="C320" s="140"/>
      <c r="D320" s="141"/>
      <c r="E320" s="188"/>
    </row>
    <row r="321" spans="1:5">
      <c r="A321" s="138"/>
      <c r="B321" s="139"/>
      <c r="C321" s="140"/>
      <c r="D321" s="141"/>
      <c r="E321" s="188"/>
    </row>
    <row r="322" spans="1:5">
      <c r="A322" s="138"/>
      <c r="B322" s="139"/>
      <c r="C322" s="140"/>
      <c r="D322" s="141"/>
      <c r="E322" s="188"/>
    </row>
    <row r="323" spans="1:5">
      <c r="A323" s="138"/>
      <c r="B323" s="139"/>
      <c r="C323" s="140"/>
      <c r="D323" s="141"/>
      <c r="E323" s="188"/>
    </row>
    <row r="324" spans="1:5">
      <c r="A324" s="138"/>
      <c r="B324" s="139"/>
      <c r="C324" s="140"/>
      <c r="D324" s="141"/>
      <c r="E324" s="188"/>
    </row>
    <row r="325" spans="1:5">
      <c r="A325" s="138"/>
      <c r="B325" s="139"/>
      <c r="C325" s="140"/>
      <c r="D325" s="141"/>
      <c r="E325" s="188"/>
    </row>
    <row r="326" spans="1:5">
      <c r="A326" s="138"/>
      <c r="B326" s="139"/>
      <c r="C326" s="140"/>
      <c r="D326" s="141"/>
      <c r="E326" s="188"/>
    </row>
    <row r="327" spans="1:5">
      <c r="A327" s="138"/>
      <c r="B327" s="139"/>
      <c r="C327" s="140"/>
      <c r="D327" s="141"/>
      <c r="E327" s="188"/>
    </row>
    <row r="328" spans="1:5">
      <c r="A328" s="138"/>
      <c r="B328" s="139"/>
      <c r="C328" s="140"/>
      <c r="D328" s="141"/>
      <c r="E328" s="188"/>
    </row>
    <row r="329" spans="1:5">
      <c r="A329" s="138"/>
      <c r="B329" s="139"/>
      <c r="C329" s="140"/>
      <c r="D329" s="141"/>
      <c r="E329" s="188"/>
    </row>
    <row r="330" spans="1:5">
      <c r="A330" s="138"/>
      <c r="B330" s="139"/>
      <c r="C330" s="140"/>
      <c r="D330" s="141"/>
      <c r="E330" s="188"/>
    </row>
    <row r="331" spans="1:5">
      <c r="A331" s="138"/>
      <c r="B331" s="139"/>
      <c r="C331" s="140"/>
      <c r="D331" s="141"/>
      <c r="E331" s="188"/>
    </row>
    <row r="332" spans="1:5">
      <c r="A332" s="138"/>
      <c r="B332" s="139"/>
      <c r="C332" s="140"/>
      <c r="D332" s="141"/>
      <c r="E332" s="188"/>
    </row>
    <row r="333" spans="1:5">
      <c r="A333" s="138"/>
      <c r="B333" s="139"/>
      <c r="C333" s="140"/>
      <c r="D333" s="141"/>
      <c r="E333" s="188"/>
    </row>
    <row r="334" spans="1:5">
      <c r="A334" s="138"/>
      <c r="B334" s="139"/>
      <c r="C334" s="140"/>
      <c r="D334" s="141"/>
      <c r="E334" s="188"/>
    </row>
    <row r="335" spans="1:5">
      <c r="A335" s="138"/>
      <c r="B335" s="139"/>
      <c r="C335" s="140"/>
      <c r="D335" s="141"/>
      <c r="E335" s="188"/>
    </row>
    <row r="336" spans="1:5">
      <c r="A336" s="138"/>
      <c r="B336" s="139"/>
      <c r="C336" s="140"/>
      <c r="D336" s="141"/>
      <c r="E336" s="188"/>
    </row>
    <row r="337" spans="1:5">
      <c r="A337" s="138"/>
      <c r="B337" s="139"/>
      <c r="C337" s="140"/>
      <c r="D337" s="141"/>
      <c r="E337" s="188"/>
    </row>
    <row r="338" spans="1:5">
      <c r="A338" s="138"/>
      <c r="B338" s="139"/>
      <c r="C338" s="140"/>
      <c r="D338" s="141"/>
      <c r="E338" s="188"/>
    </row>
    <row r="339" spans="1:5">
      <c r="A339" s="138"/>
      <c r="B339" s="139"/>
      <c r="C339" s="140"/>
      <c r="D339" s="141"/>
      <c r="E339" s="188"/>
    </row>
    <row r="340" spans="1:5">
      <c r="A340" s="138"/>
      <c r="B340" s="139"/>
      <c r="C340" s="140"/>
      <c r="D340" s="141"/>
      <c r="E340" s="188"/>
    </row>
    <row r="341" spans="1:5">
      <c r="A341" s="138"/>
      <c r="B341" s="139"/>
      <c r="C341" s="140"/>
      <c r="D341" s="141"/>
      <c r="E341" s="188"/>
    </row>
    <row r="342" spans="1:5">
      <c r="A342" s="138"/>
      <c r="B342" s="139"/>
      <c r="C342" s="140"/>
      <c r="D342" s="141"/>
      <c r="E342" s="188"/>
    </row>
    <row r="343" spans="1:5">
      <c r="A343" s="138"/>
      <c r="B343" s="139"/>
      <c r="C343" s="140"/>
      <c r="D343" s="141"/>
      <c r="E343" s="188"/>
    </row>
    <row r="344" spans="1:5">
      <c r="A344" s="138"/>
      <c r="B344" s="139"/>
      <c r="C344" s="140"/>
      <c r="D344" s="141"/>
      <c r="E344" s="188"/>
    </row>
    <row r="345" spans="1:5">
      <c r="A345" s="138"/>
      <c r="B345" s="139"/>
      <c r="C345" s="140"/>
      <c r="D345" s="141"/>
      <c r="E345" s="188"/>
    </row>
    <row r="346" spans="1:5">
      <c r="A346" s="138"/>
      <c r="B346" s="139"/>
      <c r="C346" s="140"/>
      <c r="D346" s="141"/>
      <c r="E346" s="188"/>
    </row>
    <row r="347" spans="1:5">
      <c r="A347" s="138"/>
      <c r="B347" s="139"/>
      <c r="C347" s="140"/>
      <c r="D347" s="141"/>
      <c r="E347" s="188"/>
    </row>
    <row r="348" spans="1:5">
      <c r="A348" s="138"/>
      <c r="B348" s="139"/>
      <c r="C348" s="140"/>
      <c r="D348" s="141"/>
      <c r="E348" s="188"/>
    </row>
    <row r="349" spans="1:5">
      <c r="A349" s="138"/>
      <c r="B349" s="139"/>
      <c r="C349" s="140"/>
      <c r="D349" s="141"/>
      <c r="E349" s="188"/>
    </row>
    <row r="350" spans="1:5">
      <c r="A350" s="138"/>
      <c r="B350" s="139"/>
      <c r="C350" s="140"/>
      <c r="D350" s="141"/>
      <c r="E350" s="188"/>
    </row>
    <row r="351" spans="1:5">
      <c r="A351" s="138"/>
      <c r="B351" s="139"/>
      <c r="C351" s="140"/>
      <c r="D351" s="141"/>
      <c r="E351" s="188"/>
    </row>
    <row r="352" spans="1:5">
      <c r="A352" s="138"/>
      <c r="B352" s="139"/>
      <c r="C352" s="140"/>
      <c r="D352" s="141"/>
      <c r="E352" s="188"/>
    </row>
    <row r="353" spans="1:5">
      <c r="A353" s="138"/>
      <c r="B353" s="139"/>
      <c r="C353" s="140"/>
      <c r="D353" s="141"/>
      <c r="E353" s="188"/>
    </row>
    <row r="354" spans="1:5">
      <c r="A354" s="138"/>
      <c r="B354" s="139"/>
      <c r="C354" s="140"/>
      <c r="D354" s="141"/>
      <c r="E354" s="188"/>
    </row>
    <row r="355" spans="1:5">
      <c r="A355" s="138"/>
      <c r="B355" s="139"/>
      <c r="C355" s="140"/>
      <c r="D355" s="141"/>
      <c r="E355" s="188"/>
    </row>
    <row r="356" spans="1:5">
      <c r="A356" s="138"/>
      <c r="B356" s="139"/>
      <c r="C356" s="140"/>
      <c r="D356" s="141"/>
      <c r="E356" s="188"/>
    </row>
    <row r="357" spans="1:5">
      <c r="A357" s="138"/>
      <c r="B357" s="139"/>
      <c r="C357" s="140"/>
      <c r="D357" s="141"/>
      <c r="E357" s="188"/>
    </row>
    <row r="358" spans="1:5">
      <c r="A358" s="138"/>
      <c r="B358" s="139"/>
      <c r="C358" s="140"/>
      <c r="D358" s="141"/>
      <c r="E358" s="188"/>
    </row>
    <row r="359" spans="1:5">
      <c r="A359" s="138"/>
      <c r="B359" s="139"/>
      <c r="C359" s="140"/>
      <c r="D359" s="141"/>
      <c r="E359" s="188"/>
    </row>
    <row r="360" spans="1:5">
      <c r="A360" s="138"/>
      <c r="B360" s="139"/>
      <c r="C360" s="140"/>
      <c r="D360" s="141"/>
      <c r="E360" s="188"/>
    </row>
    <row r="361" spans="1:5">
      <c r="A361" s="138"/>
      <c r="B361" s="139"/>
      <c r="C361" s="140"/>
      <c r="D361" s="141"/>
      <c r="E361" s="188"/>
    </row>
    <row r="362" spans="1:5">
      <c r="A362" s="138"/>
      <c r="B362" s="139"/>
      <c r="C362" s="140"/>
      <c r="D362" s="141"/>
      <c r="E362" s="188"/>
    </row>
    <row r="363" spans="1:5">
      <c r="A363" s="138"/>
      <c r="B363" s="139"/>
      <c r="C363" s="140"/>
      <c r="D363" s="141"/>
      <c r="E363" s="188"/>
    </row>
    <row r="364" spans="1:5">
      <c r="A364" s="138"/>
      <c r="B364" s="139"/>
      <c r="C364" s="140"/>
      <c r="D364" s="141"/>
      <c r="E364" s="188"/>
    </row>
    <row r="365" spans="1:5">
      <c r="A365" s="138"/>
      <c r="B365" s="139"/>
      <c r="C365" s="140"/>
      <c r="D365" s="141"/>
      <c r="E365" s="188"/>
    </row>
    <row r="366" spans="1:5">
      <c r="A366" s="138"/>
      <c r="B366" s="139"/>
      <c r="C366" s="140"/>
      <c r="D366" s="141"/>
      <c r="E366" s="188"/>
    </row>
    <row r="367" spans="1:5">
      <c r="A367" s="138"/>
      <c r="B367" s="139"/>
      <c r="C367" s="140"/>
      <c r="D367" s="141"/>
      <c r="E367" s="188"/>
    </row>
    <row r="368" spans="1:5">
      <c r="A368" s="138"/>
      <c r="B368" s="139"/>
      <c r="C368" s="140"/>
      <c r="D368" s="141"/>
      <c r="E368" s="188"/>
    </row>
    <row r="369" spans="1:5">
      <c r="A369" s="138"/>
      <c r="B369" s="139"/>
      <c r="C369" s="140"/>
      <c r="D369" s="141"/>
      <c r="E369" s="188"/>
    </row>
    <row r="370" spans="1:5">
      <c r="A370" s="138"/>
      <c r="B370" s="139"/>
      <c r="C370" s="140"/>
      <c r="D370" s="141"/>
      <c r="E370" s="188"/>
    </row>
    <row r="371" spans="1:5">
      <c r="A371" s="138"/>
      <c r="B371" s="139"/>
      <c r="C371" s="140"/>
      <c r="D371" s="141"/>
      <c r="E371" s="188"/>
    </row>
    <row r="372" spans="1:5">
      <c r="A372" s="138"/>
      <c r="B372" s="139"/>
      <c r="C372" s="140"/>
      <c r="D372" s="141"/>
      <c r="E372" s="188"/>
    </row>
    <row r="373" spans="1:5">
      <c r="A373" s="138"/>
      <c r="B373" s="139"/>
      <c r="C373" s="140"/>
      <c r="D373" s="141"/>
      <c r="E373" s="188"/>
    </row>
    <row r="374" spans="1:5">
      <c r="A374" s="138"/>
      <c r="B374" s="139"/>
      <c r="C374" s="140"/>
      <c r="D374" s="141"/>
      <c r="E374" s="188"/>
    </row>
    <row r="375" spans="1:5">
      <c r="A375" s="138"/>
      <c r="B375" s="139"/>
      <c r="C375" s="140"/>
      <c r="D375" s="141"/>
      <c r="E375" s="188"/>
    </row>
    <row r="376" spans="1:5">
      <c r="A376" s="138"/>
      <c r="B376" s="139"/>
      <c r="C376" s="140"/>
      <c r="D376" s="141"/>
      <c r="E376" s="188"/>
    </row>
    <row r="377" spans="1:5">
      <c r="A377" s="138"/>
      <c r="B377" s="139"/>
      <c r="C377" s="140"/>
      <c r="D377" s="141"/>
      <c r="E377" s="188"/>
    </row>
    <row r="378" spans="1:5">
      <c r="A378" s="138"/>
      <c r="B378" s="139"/>
      <c r="C378" s="140"/>
      <c r="D378" s="141"/>
      <c r="E378" s="188"/>
    </row>
    <row r="379" spans="1:5">
      <c r="A379" s="138"/>
      <c r="B379" s="139"/>
      <c r="C379" s="140"/>
      <c r="D379" s="141"/>
      <c r="E379" s="188"/>
    </row>
    <row r="380" spans="1:5">
      <c r="A380" s="138"/>
      <c r="B380" s="139"/>
      <c r="C380" s="140"/>
      <c r="D380" s="141"/>
      <c r="E380" s="188"/>
    </row>
    <row r="381" spans="1:5">
      <c r="A381" s="138"/>
      <c r="B381" s="139"/>
      <c r="C381" s="140"/>
      <c r="D381" s="141"/>
      <c r="E381" s="188"/>
    </row>
    <row r="382" spans="1:5">
      <c r="A382" s="138"/>
      <c r="B382" s="139"/>
      <c r="C382" s="140"/>
      <c r="D382" s="141"/>
      <c r="E382" s="188"/>
    </row>
    <row r="383" spans="1:5">
      <c r="A383" s="138"/>
      <c r="B383" s="139"/>
      <c r="C383" s="140"/>
      <c r="D383" s="141"/>
      <c r="E383" s="188"/>
    </row>
    <row r="384" spans="1:5">
      <c r="A384" s="138"/>
      <c r="B384" s="139"/>
      <c r="C384" s="140"/>
      <c r="D384" s="141"/>
      <c r="E384" s="188"/>
    </row>
    <row r="385" spans="1:5">
      <c r="A385" s="138"/>
      <c r="B385" s="139"/>
      <c r="C385" s="140"/>
      <c r="D385" s="141"/>
      <c r="E385" s="188"/>
    </row>
    <row r="386" spans="1:5">
      <c r="A386" s="138"/>
      <c r="B386" s="139"/>
      <c r="C386" s="140"/>
      <c r="D386" s="141"/>
      <c r="E386" s="188"/>
    </row>
    <row r="387" spans="1:5">
      <c r="A387" s="138"/>
      <c r="B387" s="139"/>
      <c r="C387" s="140"/>
      <c r="D387" s="141"/>
      <c r="E387" s="188"/>
    </row>
    <row r="388" spans="1:5">
      <c r="A388" s="138"/>
      <c r="B388" s="139"/>
      <c r="C388" s="140"/>
      <c r="D388" s="141"/>
      <c r="E388" s="188"/>
    </row>
    <row r="389" spans="1:5">
      <c r="A389" s="138"/>
      <c r="B389" s="139"/>
      <c r="C389" s="140"/>
      <c r="D389" s="141"/>
      <c r="E389" s="188"/>
    </row>
    <row r="390" spans="1:5">
      <c r="A390" s="138"/>
      <c r="B390" s="139"/>
      <c r="C390" s="140"/>
      <c r="D390" s="141"/>
      <c r="E390" s="188"/>
    </row>
    <row r="391" spans="1:5">
      <c r="A391" s="138"/>
      <c r="B391" s="139"/>
      <c r="C391" s="140"/>
      <c r="D391" s="141"/>
      <c r="E391" s="188"/>
    </row>
    <row r="392" spans="1:5">
      <c r="A392" s="138"/>
      <c r="B392" s="139"/>
      <c r="C392" s="140"/>
      <c r="D392" s="141"/>
      <c r="E392" s="188"/>
    </row>
    <row r="393" spans="1:5">
      <c r="A393" s="138"/>
      <c r="B393" s="139"/>
      <c r="C393" s="140"/>
      <c r="D393" s="141"/>
      <c r="E393" s="188"/>
    </row>
    <row r="394" spans="1:5">
      <c r="A394" s="138"/>
      <c r="B394" s="139"/>
      <c r="C394" s="140"/>
      <c r="D394" s="141"/>
      <c r="E394" s="188"/>
    </row>
    <row r="395" spans="1:5">
      <c r="A395" s="138"/>
      <c r="B395" s="139"/>
      <c r="C395" s="140"/>
      <c r="D395" s="141"/>
      <c r="E395" s="188"/>
    </row>
    <row r="396" spans="1:5">
      <c r="A396" s="138"/>
      <c r="B396" s="139"/>
      <c r="C396" s="140"/>
      <c r="D396" s="141"/>
      <c r="E396" s="188"/>
    </row>
    <row r="397" spans="1:5">
      <c r="A397" s="138"/>
      <c r="B397" s="139"/>
      <c r="C397" s="140"/>
      <c r="D397" s="141"/>
      <c r="E397" s="188"/>
    </row>
    <row r="398" spans="1:5">
      <c r="A398" s="138"/>
      <c r="B398" s="139"/>
      <c r="C398" s="140"/>
      <c r="D398" s="141"/>
      <c r="E398" s="188"/>
    </row>
    <row r="399" spans="1:5">
      <c r="A399" s="138"/>
      <c r="B399" s="139"/>
      <c r="C399" s="140"/>
      <c r="D399" s="141"/>
      <c r="E399" s="188"/>
    </row>
    <row r="400" spans="1:5">
      <c r="A400" s="138"/>
      <c r="B400" s="139"/>
      <c r="C400" s="140"/>
      <c r="D400" s="141"/>
      <c r="E400" s="188"/>
    </row>
    <row r="401" spans="1:5">
      <c r="A401" s="138"/>
      <c r="B401" s="139"/>
      <c r="C401" s="140"/>
      <c r="D401" s="141"/>
      <c r="E401" s="188"/>
    </row>
    <row r="402" spans="1:5">
      <c r="A402" s="138"/>
      <c r="B402" s="139"/>
      <c r="C402" s="140"/>
      <c r="D402" s="141"/>
      <c r="E402" s="188"/>
    </row>
    <row r="403" spans="1:5">
      <c r="A403" s="138"/>
      <c r="B403" s="139"/>
      <c r="C403" s="140"/>
      <c r="D403" s="141"/>
      <c r="E403" s="188"/>
    </row>
    <row r="404" spans="1:5">
      <c r="A404" s="138"/>
      <c r="B404" s="139"/>
      <c r="C404" s="140"/>
      <c r="D404" s="141"/>
      <c r="E404" s="188"/>
    </row>
    <row r="405" spans="1:5">
      <c r="A405" s="138"/>
      <c r="B405" s="139"/>
      <c r="C405" s="140"/>
      <c r="D405" s="141"/>
      <c r="E405" s="188"/>
    </row>
    <row r="406" spans="1:5">
      <c r="A406" s="138"/>
      <c r="B406" s="139"/>
      <c r="C406" s="140"/>
      <c r="D406" s="141"/>
      <c r="E406" s="188"/>
    </row>
    <row r="407" spans="1:5">
      <c r="A407" s="138"/>
      <c r="B407" s="139"/>
      <c r="C407" s="140"/>
      <c r="D407" s="141"/>
      <c r="E407" s="188"/>
    </row>
    <row r="408" spans="1:5">
      <c r="A408" s="138"/>
      <c r="B408" s="139"/>
      <c r="C408" s="140"/>
      <c r="D408" s="141"/>
      <c r="E408" s="188"/>
    </row>
    <row r="409" spans="1:5">
      <c r="A409" s="138"/>
      <c r="B409" s="139"/>
      <c r="C409" s="140"/>
      <c r="D409" s="141"/>
      <c r="E409" s="188"/>
    </row>
    <row r="410" spans="1:5">
      <c r="A410" s="138"/>
      <c r="B410" s="139"/>
      <c r="C410" s="140"/>
      <c r="D410" s="141"/>
      <c r="E410" s="188"/>
    </row>
    <row r="411" spans="1:5">
      <c r="A411" s="138"/>
      <c r="B411" s="139"/>
      <c r="C411" s="140"/>
      <c r="D411" s="141"/>
      <c r="E411" s="188"/>
    </row>
    <row r="412" spans="1:5">
      <c r="A412" s="138"/>
      <c r="B412" s="139"/>
      <c r="C412" s="140"/>
      <c r="D412" s="141"/>
      <c r="E412" s="188"/>
    </row>
    <row r="413" spans="1:5">
      <c r="A413" s="138"/>
      <c r="B413" s="139"/>
      <c r="C413" s="140"/>
      <c r="D413" s="141"/>
      <c r="E413" s="188"/>
    </row>
    <row r="414" spans="1:5">
      <c r="A414" s="138"/>
      <c r="B414" s="139"/>
      <c r="C414" s="140"/>
      <c r="D414" s="141"/>
      <c r="E414" s="188"/>
    </row>
    <row r="415" spans="1:5">
      <c r="A415" s="138"/>
      <c r="B415" s="139"/>
      <c r="C415" s="140"/>
      <c r="D415" s="141"/>
      <c r="E415" s="188"/>
    </row>
    <row r="416" spans="1:5">
      <c r="A416" s="138"/>
      <c r="B416" s="139"/>
      <c r="C416" s="140"/>
      <c r="D416" s="141"/>
      <c r="E416" s="188"/>
    </row>
    <row r="417" spans="1:5">
      <c r="A417" s="138"/>
      <c r="B417" s="139"/>
      <c r="C417" s="140"/>
      <c r="D417" s="141"/>
      <c r="E417" s="188"/>
    </row>
    <row r="418" spans="1:5">
      <c r="A418" s="138"/>
      <c r="B418" s="139"/>
      <c r="C418" s="140"/>
      <c r="D418" s="141"/>
      <c r="E418" s="188"/>
    </row>
    <row r="419" spans="1:5">
      <c r="A419" s="138"/>
      <c r="B419" s="139"/>
      <c r="C419" s="140"/>
      <c r="D419" s="141"/>
      <c r="E419" s="188"/>
    </row>
    <row r="420" spans="1:5">
      <c r="A420" s="138"/>
      <c r="B420" s="139"/>
      <c r="C420" s="140"/>
      <c r="D420" s="141"/>
      <c r="E420" s="188"/>
    </row>
    <row r="421" spans="1:5">
      <c r="A421" s="138"/>
      <c r="B421" s="139"/>
      <c r="C421" s="140"/>
      <c r="D421" s="141"/>
      <c r="E421" s="188"/>
    </row>
    <row r="422" spans="1:5">
      <c r="A422" s="138"/>
      <c r="B422" s="139"/>
      <c r="C422" s="140"/>
      <c r="D422" s="141"/>
      <c r="E422" s="188"/>
    </row>
    <row r="423" spans="1:5">
      <c r="A423" s="138"/>
      <c r="B423" s="139"/>
      <c r="C423" s="140"/>
      <c r="D423" s="141"/>
      <c r="E423" s="188"/>
    </row>
    <row r="424" spans="1:5">
      <c r="A424" s="138"/>
      <c r="B424" s="139"/>
      <c r="C424" s="140"/>
      <c r="D424" s="141"/>
      <c r="E424" s="188"/>
    </row>
    <row r="425" spans="1:5">
      <c r="A425" s="138"/>
      <c r="B425" s="139"/>
      <c r="C425" s="140"/>
      <c r="D425" s="141"/>
      <c r="E425" s="188"/>
    </row>
    <row r="426" spans="1:5">
      <c r="A426" s="138"/>
      <c r="B426" s="139"/>
      <c r="C426" s="140"/>
      <c r="D426" s="141"/>
      <c r="E426" s="188"/>
    </row>
    <row r="427" spans="1:5">
      <c r="A427" s="138"/>
      <c r="B427" s="139"/>
      <c r="C427" s="140"/>
      <c r="D427" s="141"/>
      <c r="E427" s="188"/>
    </row>
    <row r="428" spans="1:5">
      <c r="A428" s="138"/>
      <c r="B428" s="139"/>
      <c r="C428" s="140"/>
      <c r="D428" s="141"/>
      <c r="E428" s="188"/>
    </row>
    <row r="429" spans="1:5">
      <c r="A429" s="138"/>
      <c r="B429" s="139"/>
      <c r="C429" s="140"/>
      <c r="D429" s="141"/>
      <c r="E429" s="188"/>
    </row>
    <row r="430" spans="1:5">
      <c r="A430" s="138"/>
      <c r="B430" s="139"/>
      <c r="C430" s="140"/>
      <c r="D430" s="141"/>
      <c r="E430" s="188"/>
    </row>
    <row r="431" spans="1:5">
      <c r="A431" s="138"/>
      <c r="B431" s="139"/>
      <c r="C431" s="140"/>
      <c r="D431" s="141"/>
      <c r="E431" s="188"/>
    </row>
    <row r="432" spans="1:5">
      <c r="A432" s="138"/>
      <c r="B432" s="139"/>
      <c r="C432" s="140"/>
      <c r="D432" s="141"/>
      <c r="E432" s="188"/>
    </row>
    <row r="433" spans="1:5">
      <c r="A433" s="138"/>
      <c r="B433" s="139"/>
      <c r="C433" s="140"/>
      <c r="D433" s="141"/>
      <c r="E433" s="188"/>
    </row>
    <row r="434" spans="1:5">
      <c r="A434" s="138"/>
      <c r="B434" s="139"/>
      <c r="C434" s="140"/>
      <c r="D434" s="141"/>
      <c r="E434" s="188"/>
    </row>
    <row r="435" spans="1:5">
      <c r="A435" s="138"/>
      <c r="B435" s="139"/>
      <c r="C435" s="140"/>
      <c r="D435" s="141"/>
      <c r="E435" s="188"/>
    </row>
    <row r="436" spans="1:5">
      <c r="A436" s="138"/>
      <c r="B436" s="139"/>
      <c r="C436" s="140"/>
      <c r="D436" s="141"/>
      <c r="E436" s="188"/>
    </row>
    <row r="437" spans="1:5">
      <c r="A437" s="138"/>
      <c r="B437" s="139"/>
      <c r="C437" s="140"/>
      <c r="D437" s="141"/>
      <c r="E437" s="188"/>
    </row>
    <row r="438" spans="1:5">
      <c r="A438" s="138"/>
      <c r="B438" s="139"/>
      <c r="C438" s="140"/>
      <c r="D438" s="141"/>
      <c r="E438" s="188"/>
    </row>
    <row r="439" spans="1:5">
      <c r="A439" s="138"/>
      <c r="B439" s="139"/>
      <c r="C439" s="140"/>
      <c r="D439" s="141"/>
      <c r="E439" s="188"/>
    </row>
    <row r="440" spans="1:5">
      <c r="A440" s="138"/>
      <c r="B440" s="139"/>
      <c r="C440" s="140"/>
      <c r="D440" s="141"/>
      <c r="E440" s="188"/>
    </row>
    <row r="441" spans="1:5">
      <c r="A441" s="138"/>
      <c r="B441" s="139"/>
      <c r="C441" s="140"/>
      <c r="D441" s="141"/>
      <c r="E441" s="188"/>
    </row>
    <row r="442" spans="1:5">
      <c r="A442" s="138"/>
      <c r="B442" s="139"/>
      <c r="C442" s="140"/>
      <c r="D442" s="141"/>
      <c r="E442" s="188"/>
    </row>
    <row r="443" spans="1:5">
      <c r="A443" s="138"/>
      <c r="B443" s="139"/>
      <c r="C443" s="140"/>
      <c r="D443" s="141"/>
      <c r="E443" s="188"/>
    </row>
    <row r="444" spans="1:5">
      <c r="A444" s="138"/>
      <c r="B444" s="139"/>
      <c r="C444" s="140"/>
      <c r="D444" s="141"/>
      <c r="E444" s="188"/>
    </row>
    <row r="445" spans="1:5">
      <c r="A445" s="138"/>
      <c r="B445" s="139"/>
      <c r="C445" s="140"/>
      <c r="D445" s="141"/>
      <c r="E445" s="188"/>
    </row>
    <row r="446" spans="1:5">
      <c r="A446" s="138"/>
      <c r="B446" s="139"/>
      <c r="C446" s="140"/>
      <c r="D446" s="141"/>
      <c r="E446" s="188"/>
    </row>
    <row r="447" spans="1:5">
      <c r="A447" s="138"/>
      <c r="B447" s="139"/>
      <c r="C447" s="140"/>
      <c r="D447" s="141"/>
      <c r="E447" s="188"/>
    </row>
    <row r="448" spans="1:5">
      <c r="A448" s="138"/>
      <c r="B448" s="139"/>
      <c r="C448" s="140"/>
      <c r="D448" s="141"/>
      <c r="E448" s="188"/>
    </row>
    <row r="449" spans="1:5">
      <c r="A449" s="138"/>
      <c r="B449" s="139"/>
      <c r="C449" s="140"/>
      <c r="D449" s="141"/>
      <c r="E449" s="188"/>
    </row>
    <row r="450" spans="1:5">
      <c r="A450" s="138"/>
      <c r="B450" s="139"/>
      <c r="C450" s="140"/>
      <c r="D450" s="141"/>
      <c r="E450" s="188"/>
    </row>
    <row r="451" spans="1:5">
      <c r="A451" s="138"/>
      <c r="B451" s="139"/>
      <c r="C451" s="140"/>
      <c r="D451" s="141"/>
      <c r="E451" s="188"/>
    </row>
    <row r="452" spans="1:5">
      <c r="A452" s="138"/>
      <c r="B452" s="139"/>
      <c r="C452" s="140"/>
      <c r="D452" s="141"/>
      <c r="E452" s="188"/>
    </row>
    <row r="453" spans="1:5">
      <c r="A453" s="138"/>
      <c r="B453" s="139"/>
      <c r="C453" s="140"/>
      <c r="D453" s="141"/>
      <c r="E453" s="188"/>
    </row>
    <row r="454" spans="1:5">
      <c r="A454" s="138"/>
      <c r="B454" s="139"/>
      <c r="C454" s="140"/>
      <c r="D454" s="141"/>
      <c r="E454" s="188"/>
    </row>
    <row r="455" spans="1:5">
      <c r="A455" s="138"/>
      <c r="B455" s="139"/>
      <c r="C455" s="140"/>
      <c r="D455" s="141"/>
      <c r="E455" s="188"/>
    </row>
    <row r="456" spans="1:5">
      <c r="A456" s="138"/>
      <c r="B456" s="139"/>
      <c r="C456" s="140"/>
      <c r="D456" s="141"/>
      <c r="E456" s="188"/>
    </row>
    <row r="457" spans="1:5">
      <c r="A457" s="138"/>
      <c r="B457" s="139"/>
      <c r="C457" s="140"/>
      <c r="D457" s="141"/>
      <c r="E457" s="188"/>
    </row>
    <row r="458" spans="1:5">
      <c r="A458" s="138"/>
      <c r="B458" s="139"/>
      <c r="C458" s="140"/>
      <c r="D458" s="141"/>
      <c r="E458" s="188"/>
    </row>
    <row r="459" spans="1:5">
      <c r="A459" s="138"/>
      <c r="B459" s="139"/>
      <c r="C459" s="140"/>
      <c r="D459" s="141"/>
      <c r="E459" s="188"/>
    </row>
    <row r="460" spans="1:5">
      <c r="A460" s="138"/>
      <c r="B460" s="139"/>
      <c r="C460" s="140"/>
      <c r="D460" s="141"/>
      <c r="E460" s="188"/>
    </row>
    <row r="461" spans="1:5">
      <c r="A461" s="138"/>
      <c r="B461" s="139"/>
      <c r="C461" s="140"/>
      <c r="D461" s="141"/>
      <c r="E461" s="188"/>
    </row>
    <row r="462" spans="1:5">
      <c r="A462" s="138"/>
      <c r="B462" s="139"/>
      <c r="C462" s="140"/>
      <c r="D462" s="141"/>
      <c r="E462" s="188"/>
    </row>
    <row r="463" spans="1:5">
      <c r="A463" s="138"/>
      <c r="B463" s="139"/>
      <c r="C463" s="140"/>
      <c r="D463" s="141"/>
      <c r="E463" s="188"/>
    </row>
    <row r="464" spans="1:5">
      <c r="A464" s="138"/>
      <c r="B464" s="139"/>
      <c r="C464" s="140"/>
      <c r="D464" s="141"/>
      <c r="E464" s="188"/>
    </row>
    <row r="465" spans="1:5">
      <c r="A465" s="138"/>
      <c r="B465" s="139"/>
      <c r="C465" s="140"/>
      <c r="D465" s="141"/>
      <c r="E465" s="188"/>
    </row>
    <row r="466" spans="1:5">
      <c r="A466" s="138"/>
      <c r="B466" s="139"/>
      <c r="C466" s="140"/>
      <c r="D466" s="141"/>
      <c r="E466" s="188"/>
    </row>
    <row r="467" spans="1:5">
      <c r="A467" s="138"/>
      <c r="B467" s="139"/>
      <c r="C467" s="140"/>
      <c r="D467" s="141"/>
      <c r="E467" s="188"/>
    </row>
    <row r="468" spans="1:5">
      <c r="A468" s="138"/>
      <c r="B468" s="139"/>
      <c r="C468" s="140"/>
      <c r="D468" s="141"/>
      <c r="E468" s="188"/>
    </row>
    <row r="469" spans="1:5">
      <c r="A469" s="138"/>
      <c r="B469" s="139"/>
      <c r="C469" s="140"/>
      <c r="D469" s="141"/>
      <c r="E469" s="188"/>
    </row>
    <row r="470" spans="1:5">
      <c r="A470" s="138"/>
      <c r="B470" s="139"/>
      <c r="C470" s="140"/>
      <c r="D470" s="141"/>
      <c r="E470" s="188"/>
    </row>
    <row r="471" spans="1:5">
      <c r="A471" s="138"/>
      <c r="B471" s="139"/>
      <c r="C471" s="140"/>
      <c r="D471" s="141"/>
      <c r="E471" s="188"/>
    </row>
    <row r="472" spans="1:5">
      <c r="A472" s="138"/>
      <c r="B472" s="139"/>
      <c r="E472" s="188"/>
    </row>
    <row r="473" spans="1:5">
      <c r="A473" s="138"/>
      <c r="B473" s="139"/>
      <c r="E473" s="188"/>
    </row>
    <row r="474" spans="1:5">
      <c r="A474" s="138"/>
      <c r="B474" s="139"/>
      <c r="E474" s="188"/>
    </row>
    <row r="475" spans="1:5">
      <c r="A475" s="138"/>
      <c r="B475" s="139"/>
      <c r="E475" s="188"/>
    </row>
    <row r="476" spans="1:5">
      <c r="A476" s="138"/>
      <c r="B476" s="139"/>
      <c r="E476" s="188"/>
    </row>
    <row r="477" spans="1:5">
      <c r="A477" s="138"/>
      <c r="B477" s="139"/>
      <c r="E477" s="188"/>
    </row>
    <row r="478" spans="1:5">
      <c r="A478" s="138"/>
      <c r="B478" s="139"/>
      <c r="E478" s="188"/>
    </row>
    <row r="479" spans="1:5">
      <c r="A479" s="138"/>
      <c r="B479" s="139"/>
      <c r="E479" s="188"/>
    </row>
    <row r="480" spans="1:5">
      <c r="A480" s="138"/>
      <c r="B480" s="139"/>
      <c r="E480" s="188"/>
    </row>
    <row r="481" spans="1:5">
      <c r="A481" s="138"/>
      <c r="B481" s="139"/>
      <c r="E481" s="188"/>
    </row>
    <row r="482" spans="1:5">
      <c r="A482" s="138"/>
      <c r="B482" s="139"/>
      <c r="E482" s="188"/>
    </row>
    <row r="483" spans="1:5">
      <c r="A483" s="138"/>
      <c r="B483" s="139"/>
      <c r="E483" s="188"/>
    </row>
    <row r="484" spans="1:5">
      <c r="A484" s="138"/>
      <c r="B484" s="139"/>
      <c r="E484" s="188"/>
    </row>
    <row r="485" spans="1:5">
      <c r="A485" s="138"/>
      <c r="B485" s="139"/>
      <c r="E485" s="188"/>
    </row>
    <row r="486" spans="1:5">
      <c r="A486" s="138"/>
      <c r="B486" s="139"/>
      <c r="E486" s="188"/>
    </row>
    <row r="487" spans="1:5">
      <c r="A487" s="138"/>
      <c r="B487" s="139"/>
      <c r="E487" s="188"/>
    </row>
    <row r="488" spans="1:5">
      <c r="A488" s="138"/>
      <c r="B488" s="139"/>
      <c r="E488" s="188"/>
    </row>
    <row r="489" spans="1:5">
      <c r="A489" s="138"/>
      <c r="B489" s="139"/>
      <c r="E489" s="188"/>
    </row>
    <row r="490" spans="1:5">
      <c r="A490" s="138"/>
      <c r="B490" s="139"/>
      <c r="E490" s="188"/>
    </row>
    <row r="491" spans="1:5">
      <c r="A491" s="138"/>
      <c r="B491" s="139"/>
      <c r="E491" s="188"/>
    </row>
    <row r="492" spans="1:5">
      <c r="A492" s="138"/>
      <c r="B492" s="139"/>
      <c r="E492" s="188"/>
    </row>
    <row r="493" spans="1:5">
      <c r="A493" s="138"/>
      <c r="B493" s="139"/>
      <c r="E493" s="188"/>
    </row>
    <row r="494" spans="1:5">
      <c r="A494" s="138"/>
      <c r="B494" s="139"/>
      <c r="E494" s="188"/>
    </row>
    <row r="495" spans="1:5">
      <c r="A495" s="138"/>
      <c r="B495" s="139"/>
      <c r="E495" s="188"/>
    </row>
    <row r="496" spans="1:5">
      <c r="A496" s="138"/>
      <c r="B496" s="139"/>
      <c r="E496" s="188"/>
    </row>
    <row r="497" spans="1:5">
      <c r="A497" s="138"/>
      <c r="B497" s="139"/>
      <c r="E497" s="188"/>
    </row>
    <row r="498" spans="1:5">
      <c r="A498" s="138"/>
      <c r="B498" s="139"/>
      <c r="E498" s="188"/>
    </row>
    <row r="499" spans="1:5">
      <c r="A499" s="138"/>
      <c r="B499" s="139"/>
      <c r="E499" s="188"/>
    </row>
    <row r="500" spans="1:5">
      <c r="A500" s="138"/>
      <c r="B500" s="139"/>
      <c r="E500" s="188"/>
    </row>
    <row r="501" spans="1:5">
      <c r="A501" s="138"/>
      <c r="B501" s="139"/>
      <c r="E501" s="188"/>
    </row>
    <row r="502" spans="1:5">
      <c r="A502" s="138"/>
      <c r="B502" s="139"/>
      <c r="E502" s="188"/>
    </row>
    <row r="503" spans="1:5">
      <c r="A503" s="138"/>
      <c r="B503" s="139"/>
      <c r="E503" s="188"/>
    </row>
    <row r="504" spans="1:5">
      <c r="A504" s="138"/>
      <c r="B504" s="139"/>
      <c r="E504" s="188"/>
    </row>
    <row r="505" spans="1:5">
      <c r="A505" s="138"/>
      <c r="B505" s="139"/>
      <c r="E505" s="188"/>
    </row>
    <row r="506" spans="1:5">
      <c r="A506" s="138"/>
      <c r="B506" s="139"/>
      <c r="E506" s="188"/>
    </row>
    <row r="507" spans="1:5">
      <c r="A507" s="138"/>
      <c r="B507" s="139"/>
      <c r="E507" s="188"/>
    </row>
    <row r="508" spans="1:5">
      <c r="A508" s="138"/>
      <c r="B508" s="139"/>
      <c r="E508" s="188"/>
    </row>
    <row r="509" spans="1:5">
      <c r="A509" s="138"/>
      <c r="B509" s="139"/>
      <c r="E509" s="188"/>
    </row>
    <row r="510" spans="1:5">
      <c r="A510" s="138"/>
      <c r="B510" s="139"/>
      <c r="E510" s="188"/>
    </row>
    <row r="511" spans="1:5">
      <c r="A511" s="138"/>
      <c r="B511" s="139"/>
      <c r="E511" s="188"/>
    </row>
    <row r="512" spans="1:5">
      <c r="A512" s="138"/>
      <c r="B512" s="139"/>
      <c r="E512" s="188"/>
    </row>
    <row r="513" spans="1:5">
      <c r="A513" s="138"/>
      <c r="B513" s="139"/>
      <c r="E513" s="188"/>
    </row>
    <row r="514" spans="1:5">
      <c r="A514" s="138"/>
      <c r="B514" s="139"/>
      <c r="E514" s="188"/>
    </row>
    <row r="515" spans="1:5">
      <c r="A515" s="138"/>
      <c r="B515" s="139"/>
      <c r="E515" s="188"/>
    </row>
    <row r="516" spans="1:5">
      <c r="A516" s="138"/>
      <c r="B516" s="139"/>
      <c r="E516" s="188"/>
    </row>
    <row r="517" spans="1:5">
      <c r="A517" s="138"/>
      <c r="B517" s="139"/>
      <c r="E517" s="188"/>
    </row>
    <row r="518" spans="1:5">
      <c r="A518" s="138"/>
      <c r="B518" s="139"/>
      <c r="E518" s="188"/>
    </row>
    <row r="519" spans="1:5">
      <c r="A519" s="138"/>
      <c r="B519" s="139"/>
      <c r="E519" s="188"/>
    </row>
    <row r="520" spans="1:5">
      <c r="A520" s="138"/>
      <c r="B520" s="139"/>
      <c r="E520" s="188"/>
    </row>
    <row r="521" spans="1:5">
      <c r="A521" s="138"/>
      <c r="B521" s="139"/>
      <c r="E521" s="188"/>
    </row>
    <row r="522" spans="1:5">
      <c r="A522" s="138"/>
      <c r="B522" s="139"/>
      <c r="E522" s="188"/>
    </row>
    <row r="523" spans="1:5">
      <c r="A523" s="138"/>
      <c r="B523" s="139"/>
      <c r="E523" s="188"/>
    </row>
    <row r="524" spans="1:5">
      <c r="A524" s="138"/>
      <c r="B524" s="139"/>
      <c r="E524" s="188"/>
    </row>
    <row r="525" spans="1:5">
      <c r="A525" s="138"/>
      <c r="B525" s="139"/>
      <c r="E525" s="188"/>
    </row>
    <row r="526" spans="1:5">
      <c r="A526" s="138"/>
      <c r="B526" s="139"/>
      <c r="E526" s="188"/>
    </row>
    <row r="527" spans="1:5">
      <c r="A527" s="138"/>
      <c r="B527" s="139"/>
      <c r="E527" s="188"/>
    </row>
    <row r="528" spans="1:5">
      <c r="A528" s="138"/>
      <c r="B528" s="139"/>
      <c r="E528" s="188"/>
    </row>
    <row r="529" spans="1:5">
      <c r="A529" s="138"/>
      <c r="B529" s="139"/>
      <c r="E529" s="188"/>
    </row>
    <row r="530" spans="1:5">
      <c r="A530" s="138"/>
      <c r="B530" s="139"/>
      <c r="E530" s="188"/>
    </row>
    <row r="531" spans="1:5">
      <c r="A531" s="138"/>
      <c r="B531" s="139"/>
      <c r="E531" s="188"/>
    </row>
    <row r="532" spans="1:5">
      <c r="A532" s="138"/>
      <c r="B532" s="139"/>
      <c r="E532" s="188"/>
    </row>
    <row r="533" spans="1:5">
      <c r="A533" s="138"/>
      <c r="B533" s="139"/>
      <c r="E533" s="188"/>
    </row>
    <row r="534" spans="1:5">
      <c r="A534" s="138"/>
      <c r="B534" s="139"/>
      <c r="E534" s="188"/>
    </row>
    <row r="535" spans="1:5">
      <c r="A535" s="138"/>
      <c r="B535" s="139"/>
      <c r="E535" s="188"/>
    </row>
    <row r="536" spans="1:5">
      <c r="A536" s="138"/>
      <c r="B536" s="139"/>
      <c r="E536" s="188"/>
    </row>
    <row r="537" spans="1:5">
      <c r="A537" s="138"/>
      <c r="B537" s="139"/>
      <c r="E537" s="188"/>
    </row>
    <row r="538" spans="1:5">
      <c r="A538" s="138"/>
      <c r="B538" s="139"/>
      <c r="E538" s="188"/>
    </row>
    <row r="539" spans="1:5">
      <c r="A539" s="138"/>
      <c r="B539" s="139"/>
      <c r="E539" s="188"/>
    </row>
    <row r="540" spans="1:5">
      <c r="A540" s="138"/>
      <c r="B540" s="139"/>
      <c r="E540" s="188"/>
    </row>
    <row r="541" spans="1:5">
      <c r="A541" s="138"/>
      <c r="B541" s="139"/>
      <c r="E541" s="188"/>
    </row>
    <row r="542" spans="1:5">
      <c r="A542" s="138"/>
      <c r="B542" s="139"/>
      <c r="E542" s="188"/>
    </row>
    <row r="543" spans="1:5">
      <c r="A543" s="138"/>
      <c r="B543" s="139"/>
      <c r="E543" s="188"/>
    </row>
    <row r="544" spans="1:5">
      <c r="A544" s="138"/>
      <c r="B544" s="139"/>
      <c r="E544" s="188"/>
    </row>
    <row r="545" spans="1:5">
      <c r="A545" s="138"/>
      <c r="B545" s="139"/>
      <c r="E545" s="188"/>
    </row>
    <row r="546" spans="1:5">
      <c r="A546" s="138"/>
      <c r="B546" s="139"/>
      <c r="E546" s="188"/>
    </row>
    <row r="547" spans="1:5">
      <c r="A547" s="138"/>
      <c r="B547" s="139"/>
      <c r="E547" s="188"/>
    </row>
    <row r="548" spans="1:5">
      <c r="A548" s="138"/>
      <c r="B548" s="139"/>
      <c r="E548" s="188"/>
    </row>
    <row r="549" spans="1:5">
      <c r="A549" s="138"/>
      <c r="B549" s="139"/>
      <c r="E549" s="188"/>
    </row>
    <row r="550" spans="1:5">
      <c r="A550" s="138"/>
      <c r="B550" s="139"/>
      <c r="E550" s="188"/>
    </row>
    <row r="551" spans="1:5">
      <c r="A551" s="138"/>
      <c r="B551" s="139"/>
      <c r="E551" s="188"/>
    </row>
    <row r="552" spans="1:5">
      <c r="A552" s="138"/>
      <c r="B552" s="139"/>
      <c r="E552" s="188"/>
    </row>
    <row r="553" spans="1:5">
      <c r="A553" s="138"/>
      <c r="B553" s="139"/>
      <c r="E553" s="188"/>
    </row>
    <row r="554" spans="1:5">
      <c r="A554" s="138"/>
      <c r="B554" s="139"/>
      <c r="E554" s="188"/>
    </row>
    <row r="555" spans="1:5">
      <c r="A555" s="138"/>
      <c r="B555" s="139"/>
      <c r="E555" s="188"/>
    </row>
    <row r="556" spans="1:5">
      <c r="A556" s="138"/>
      <c r="B556" s="139"/>
      <c r="E556" s="188"/>
    </row>
    <row r="557" spans="1:5">
      <c r="A557" s="138"/>
      <c r="B557" s="139"/>
      <c r="E557" s="188"/>
    </row>
    <row r="558" spans="1:5">
      <c r="A558" s="138"/>
      <c r="B558" s="139"/>
      <c r="E558" s="188"/>
    </row>
    <row r="559" spans="1:5">
      <c r="A559" s="138"/>
      <c r="B559" s="139"/>
      <c r="E559" s="188"/>
    </row>
    <row r="560" spans="1:5">
      <c r="A560" s="138"/>
      <c r="B560" s="139"/>
      <c r="E560" s="188"/>
    </row>
    <row r="561" spans="1:5">
      <c r="A561" s="138"/>
      <c r="B561" s="139"/>
      <c r="E561" s="188"/>
    </row>
    <row r="562" spans="1:5">
      <c r="A562" s="138"/>
      <c r="B562" s="139"/>
      <c r="E562" s="188"/>
    </row>
    <row r="563" spans="1:5">
      <c r="A563" s="138"/>
      <c r="B563" s="139"/>
      <c r="E563" s="188"/>
    </row>
    <row r="564" spans="1:5">
      <c r="A564" s="138"/>
      <c r="B564" s="139"/>
      <c r="E564" s="188"/>
    </row>
    <row r="565" spans="1:5">
      <c r="A565" s="138"/>
      <c r="B565" s="139"/>
      <c r="E565" s="188"/>
    </row>
    <row r="566" spans="1:5">
      <c r="A566" s="138"/>
      <c r="B566" s="139"/>
      <c r="E566" s="188"/>
    </row>
    <row r="567" spans="1:5">
      <c r="A567" s="138"/>
      <c r="B567" s="139"/>
      <c r="E567" s="188"/>
    </row>
    <row r="568" spans="1:5">
      <c r="A568" s="138"/>
      <c r="B568" s="139"/>
      <c r="E568" s="188"/>
    </row>
    <row r="569" spans="1:5">
      <c r="A569" s="138"/>
      <c r="B569" s="139"/>
      <c r="E569" s="188"/>
    </row>
    <row r="570" spans="1:5">
      <c r="A570" s="138"/>
      <c r="B570" s="139"/>
      <c r="E570" s="188"/>
    </row>
    <row r="571" spans="1:5">
      <c r="A571" s="138"/>
      <c r="B571" s="139"/>
      <c r="E571" s="188"/>
    </row>
    <row r="572" spans="1:5">
      <c r="A572" s="138"/>
      <c r="B572" s="139"/>
      <c r="E572" s="188"/>
    </row>
    <row r="573" spans="1:5">
      <c r="A573" s="138"/>
      <c r="B573" s="139"/>
      <c r="E573" s="188"/>
    </row>
    <row r="574" spans="1:5">
      <c r="A574" s="138"/>
      <c r="B574" s="139"/>
      <c r="E574" s="188"/>
    </row>
    <row r="575" spans="1:5">
      <c r="A575" s="138"/>
      <c r="B575" s="139"/>
      <c r="E575" s="188"/>
    </row>
    <row r="576" spans="1:5">
      <c r="A576" s="138"/>
      <c r="B576" s="139"/>
      <c r="E576" s="188"/>
    </row>
    <row r="577" spans="1:5">
      <c r="A577" s="138"/>
      <c r="B577" s="139"/>
      <c r="E577" s="188"/>
    </row>
    <row r="578" spans="1:5">
      <c r="A578" s="138"/>
      <c r="B578" s="139"/>
      <c r="E578" s="188"/>
    </row>
    <row r="579" spans="1:5">
      <c r="A579" s="138"/>
      <c r="B579" s="139"/>
      <c r="E579" s="188"/>
    </row>
    <row r="580" spans="1:5">
      <c r="A580" s="138"/>
      <c r="B580" s="139"/>
      <c r="E580" s="188"/>
    </row>
    <row r="581" spans="1:5">
      <c r="A581" s="138"/>
      <c r="B581" s="139"/>
      <c r="E581" s="188"/>
    </row>
    <row r="582" spans="1:5">
      <c r="A582" s="138"/>
      <c r="B582" s="139"/>
      <c r="E582" s="188"/>
    </row>
    <row r="583" spans="1:5">
      <c r="A583" s="138"/>
      <c r="B583" s="139"/>
      <c r="E583" s="188"/>
    </row>
    <row r="584" spans="1:5">
      <c r="A584" s="138"/>
      <c r="B584" s="139"/>
      <c r="E584" s="188"/>
    </row>
    <row r="585" spans="1:5">
      <c r="A585" s="138"/>
      <c r="B585" s="139"/>
      <c r="E585" s="188"/>
    </row>
    <row r="586" spans="1:5">
      <c r="A586" s="138"/>
      <c r="B586" s="139"/>
      <c r="E586" s="188"/>
    </row>
    <row r="587" spans="1:5">
      <c r="A587" s="138"/>
      <c r="B587" s="139"/>
      <c r="E587" s="188"/>
    </row>
    <row r="588" spans="1:5">
      <c r="A588" s="138"/>
      <c r="B588" s="139"/>
      <c r="E588" s="188"/>
    </row>
    <row r="589" spans="1:5">
      <c r="A589" s="138"/>
      <c r="B589" s="139"/>
      <c r="E589" s="188"/>
    </row>
    <row r="590" spans="1:5">
      <c r="A590" s="138"/>
      <c r="B590" s="139"/>
      <c r="E590" s="188"/>
    </row>
    <row r="591" spans="1:5">
      <c r="A591" s="138"/>
      <c r="B591" s="139"/>
      <c r="E591" s="188"/>
    </row>
    <row r="592" spans="1:5">
      <c r="A592" s="138"/>
      <c r="B592" s="139"/>
      <c r="E592" s="188"/>
    </row>
    <row r="593" spans="1:5">
      <c r="A593" s="138"/>
      <c r="B593" s="139"/>
      <c r="E593" s="188"/>
    </row>
    <row r="594" spans="1:5">
      <c r="A594" s="138"/>
      <c r="B594" s="139"/>
      <c r="E594" s="188"/>
    </row>
    <row r="595" spans="1:5">
      <c r="A595" s="138"/>
      <c r="B595" s="139"/>
      <c r="E595" s="188"/>
    </row>
    <row r="596" spans="1:5">
      <c r="A596" s="138"/>
      <c r="B596" s="139"/>
      <c r="E596" s="188"/>
    </row>
    <row r="597" spans="1:5">
      <c r="A597" s="138"/>
      <c r="B597" s="139"/>
      <c r="E597" s="188"/>
    </row>
    <row r="598" spans="1:5">
      <c r="A598" s="138"/>
      <c r="B598" s="139"/>
      <c r="E598" s="188"/>
    </row>
    <row r="599" spans="1:5">
      <c r="A599" s="138"/>
      <c r="B599" s="139"/>
      <c r="E599" s="188"/>
    </row>
    <row r="600" spans="1:5">
      <c r="A600" s="138"/>
      <c r="B600" s="139"/>
      <c r="E600" s="188"/>
    </row>
    <row r="601" spans="1:5">
      <c r="A601" s="138"/>
      <c r="B601" s="139"/>
      <c r="E601" s="188"/>
    </row>
    <row r="602" spans="1:5">
      <c r="A602" s="138"/>
      <c r="B602" s="139"/>
      <c r="E602" s="188"/>
    </row>
    <row r="603" spans="1:5">
      <c r="A603" s="138"/>
      <c r="B603" s="139"/>
      <c r="E603" s="188"/>
    </row>
    <row r="604" spans="1:5">
      <c r="A604" s="138"/>
      <c r="B604" s="139"/>
      <c r="E604" s="188"/>
    </row>
    <row r="605" spans="1:5">
      <c r="A605" s="138"/>
      <c r="B605" s="139"/>
      <c r="E605" s="188"/>
    </row>
    <row r="606" spans="1:5">
      <c r="A606" s="138"/>
      <c r="B606" s="139"/>
      <c r="E606" s="188"/>
    </row>
    <row r="607" spans="1:5">
      <c r="A607" s="138"/>
      <c r="B607" s="139"/>
      <c r="E607" s="188"/>
    </row>
    <row r="608" spans="1:5">
      <c r="A608" s="138"/>
      <c r="B608" s="139"/>
      <c r="E608" s="188"/>
    </row>
    <row r="609" spans="1:5">
      <c r="A609" s="138"/>
      <c r="B609" s="139"/>
      <c r="E609" s="188"/>
    </row>
    <row r="610" spans="1:5">
      <c r="A610" s="138"/>
      <c r="B610" s="139"/>
      <c r="E610" s="188"/>
    </row>
    <row r="611" spans="1:5">
      <c r="A611" s="138"/>
      <c r="B611" s="139"/>
      <c r="E611" s="188"/>
    </row>
    <row r="612" spans="1:5">
      <c r="A612" s="138"/>
      <c r="B612" s="139"/>
      <c r="E612" s="188"/>
    </row>
    <row r="613" spans="1:5">
      <c r="A613" s="138"/>
      <c r="B613" s="139"/>
      <c r="E613" s="188"/>
    </row>
    <row r="614" spans="1:5">
      <c r="A614" s="138"/>
      <c r="B614" s="139"/>
      <c r="E614" s="188"/>
    </row>
    <row r="615" spans="1:5">
      <c r="A615" s="138"/>
      <c r="B615" s="139"/>
      <c r="E615" s="188"/>
    </row>
    <row r="616" spans="1:5">
      <c r="A616" s="138"/>
      <c r="B616" s="139"/>
      <c r="E616" s="188"/>
    </row>
    <row r="617" spans="1:5">
      <c r="A617" s="138"/>
      <c r="B617" s="139"/>
      <c r="E617" s="188"/>
    </row>
    <row r="618" spans="1:5">
      <c r="A618" s="138"/>
      <c r="B618" s="139"/>
      <c r="E618" s="188"/>
    </row>
    <row r="619" spans="1:5">
      <c r="A619" s="138"/>
      <c r="B619" s="139"/>
      <c r="E619" s="188"/>
    </row>
    <row r="620" spans="1:5">
      <c r="A620" s="138"/>
      <c r="B620" s="139"/>
      <c r="E620" s="188"/>
    </row>
    <row r="621" spans="1:5">
      <c r="A621" s="138"/>
      <c r="B621" s="139"/>
      <c r="E621" s="188"/>
    </row>
    <row r="622" spans="1:5">
      <c r="A622" s="138"/>
      <c r="B622" s="139"/>
      <c r="E622" s="188"/>
    </row>
    <row r="623" spans="1:5">
      <c r="A623" s="138"/>
      <c r="B623" s="139"/>
      <c r="E623" s="188"/>
    </row>
    <row r="624" spans="1:5">
      <c r="A624" s="138"/>
      <c r="B624" s="139"/>
      <c r="E624" s="188"/>
    </row>
    <row r="625" spans="1:5">
      <c r="A625" s="138"/>
      <c r="B625" s="139"/>
      <c r="E625" s="188"/>
    </row>
    <row r="626" spans="1:5">
      <c r="A626" s="138"/>
      <c r="B626" s="139"/>
      <c r="E626" s="188"/>
    </row>
    <row r="627" spans="1:5">
      <c r="A627" s="138"/>
      <c r="B627" s="139"/>
      <c r="E627" s="188"/>
    </row>
    <row r="628" spans="1:5">
      <c r="A628" s="138"/>
      <c r="B628" s="139"/>
      <c r="E628" s="188"/>
    </row>
    <row r="629" spans="1:5">
      <c r="A629" s="138"/>
      <c r="B629" s="139"/>
      <c r="E629" s="188"/>
    </row>
    <row r="630" spans="1:5">
      <c r="A630" s="138"/>
      <c r="B630" s="139"/>
      <c r="E630" s="188"/>
    </row>
    <row r="631" spans="1:5">
      <c r="A631" s="138"/>
      <c r="B631" s="139"/>
      <c r="E631" s="188"/>
    </row>
    <row r="632" spans="1:5">
      <c r="A632" s="138"/>
      <c r="B632" s="139"/>
      <c r="E632" s="188"/>
    </row>
    <row r="633" spans="1:5">
      <c r="A633" s="138"/>
      <c r="B633" s="139"/>
      <c r="E633" s="188"/>
    </row>
    <row r="634" spans="1:5">
      <c r="A634" s="138"/>
      <c r="B634" s="139"/>
      <c r="E634" s="188"/>
    </row>
    <row r="635" spans="1:5">
      <c r="A635" s="138"/>
      <c r="B635" s="139"/>
      <c r="E635" s="188"/>
    </row>
    <row r="636" spans="1:5">
      <c r="A636" s="138"/>
      <c r="B636" s="139"/>
      <c r="E636" s="188"/>
    </row>
    <row r="637" spans="1:5">
      <c r="A637" s="138"/>
      <c r="B637" s="139"/>
      <c r="E637" s="188"/>
    </row>
    <row r="638" spans="1:5">
      <c r="A638" s="138"/>
      <c r="B638" s="139"/>
      <c r="E638" s="188"/>
    </row>
    <row r="639" spans="1:5">
      <c r="A639" s="138"/>
      <c r="B639" s="139"/>
      <c r="E639" s="188"/>
    </row>
    <row r="640" spans="1:5">
      <c r="A640" s="138"/>
      <c r="B640" s="139"/>
      <c r="E640" s="188"/>
    </row>
    <row r="641" spans="1:5">
      <c r="A641" s="138"/>
      <c r="B641" s="139"/>
      <c r="E641" s="188"/>
    </row>
    <row r="642" spans="1:5">
      <c r="A642" s="138"/>
      <c r="B642" s="139"/>
      <c r="E642" s="188"/>
    </row>
    <row r="643" spans="1:5">
      <c r="A643" s="138"/>
      <c r="B643" s="139"/>
      <c r="E643" s="188"/>
    </row>
    <row r="644" spans="1:5">
      <c r="A644" s="138"/>
      <c r="B644" s="139"/>
      <c r="E644" s="188"/>
    </row>
    <row r="645" spans="1:5">
      <c r="A645" s="138"/>
      <c r="B645" s="139"/>
      <c r="E645" s="188"/>
    </row>
    <row r="646" spans="1:5">
      <c r="A646" s="138"/>
      <c r="B646" s="139"/>
      <c r="E646" s="188"/>
    </row>
    <row r="647" spans="1:5">
      <c r="A647" s="138"/>
      <c r="B647" s="139"/>
      <c r="E647" s="188"/>
    </row>
    <row r="648" spans="1:5">
      <c r="A648" s="138"/>
      <c r="B648" s="139"/>
      <c r="E648" s="188"/>
    </row>
    <row r="649" spans="1:5">
      <c r="A649" s="138"/>
      <c r="B649" s="139"/>
      <c r="E649" s="188"/>
    </row>
    <row r="650" spans="1:5">
      <c r="A650" s="138"/>
      <c r="B650" s="139"/>
      <c r="E650" s="188"/>
    </row>
    <row r="651" spans="1:5">
      <c r="A651" s="138"/>
      <c r="B651" s="139"/>
      <c r="E651" s="188"/>
    </row>
    <row r="652" spans="1:5">
      <c r="A652" s="138"/>
      <c r="B652" s="139"/>
      <c r="E652" s="188"/>
    </row>
    <row r="653" spans="1:5">
      <c r="A653" s="138"/>
      <c r="B653" s="139"/>
      <c r="E653" s="188"/>
    </row>
    <row r="654" spans="1:5">
      <c r="A654" s="138"/>
      <c r="B654" s="139"/>
      <c r="E654" s="188"/>
    </row>
    <row r="655" spans="1:5">
      <c r="A655" s="138"/>
      <c r="B655" s="139"/>
      <c r="E655" s="188"/>
    </row>
    <row r="656" spans="1:5">
      <c r="A656" s="138"/>
      <c r="B656" s="139"/>
      <c r="E656" s="188"/>
    </row>
    <row r="657" spans="1:5">
      <c r="A657" s="138"/>
      <c r="B657" s="139"/>
      <c r="E657" s="188"/>
    </row>
    <row r="658" spans="1:5">
      <c r="A658" s="138"/>
      <c r="B658" s="139"/>
      <c r="E658" s="188"/>
    </row>
    <row r="659" spans="1:5">
      <c r="A659" s="138"/>
      <c r="B659" s="139"/>
      <c r="E659" s="188"/>
    </row>
    <row r="660" spans="1:5">
      <c r="A660" s="138"/>
      <c r="B660" s="139"/>
      <c r="E660" s="188"/>
    </row>
    <row r="661" spans="1:5">
      <c r="A661" s="138"/>
      <c r="B661" s="139"/>
      <c r="E661" s="188"/>
    </row>
    <row r="662" spans="1:5">
      <c r="A662" s="138"/>
      <c r="B662" s="139"/>
      <c r="E662" s="188"/>
    </row>
    <row r="663" spans="1:5">
      <c r="A663" s="138"/>
      <c r="B663" s="139"/>
      <c r="E663" s="188"/>
    </row>
    <row r="664" spans="1:5">
      <c r="A664" s="138"/>
      <c r="B664" s="139"/>
      <c r="E664" s="188"/>
    </row>
    <row r="665" spans="1:5">
      <c r="A665" s="138"/>
      <c r="B665" s="139"/>
      <c r="E665" s="188"/>
    </row>
    <row r="666" spans="1:5">
      <c r="A666" s="138"/>
      <c r="B666" s="139"/>
      <c r="E666" s="188"/>
    </row>
    <row r="667" spans="1:5">
      <c r="A667" s="138"/>
      <c r="B667" s="139"/>
      <c r="E667" s="188"/>
    </row>
    <row r="668" spans="1:5">
      <c r="A668" s="138"/>
      <c r="B668" s="139"/>
      <c r="E668" s="188"/>
    </row>
    <row r="669" spans="1:5">
      <c r="A669" s="138"/>
      <c r="B669" s="139"/>
      <c r="E669" s="188"/>
    </row>
    <row r="670" spans="1:5">
      <c r="A670" s="138"/>
      <c r="B670" s="139"/>
      <c r="E670" s="188"/>
    </row>
    <row r="671" spans="1:5">
      <c r="A671" s="138"/>
      <c r="B671" s="139"/>
      <c r="E671" s="188"/>
    </row>
    <row r="672" spans="1:5">
      <c r="A672" s="138"/>
      <c r="B672" s="139"/>
      <c r="E672" s="188"/>
    </row>
    <row r="673" spans="1:5">
      <c r="A673" s="138"/>
      <c r="B673" s="139"/>
      <c r="E673" s="188"/>
    </row>
    <row r="674" spans="1:5">
      <c r="A674" s="138"/>
      <c r="B674" s="139"/>
      <c r="E674" s="188"/>
    </row>
    <row r="675" spans="1:5">
      <c r="A675" s="138"/>
      <c r="B675" s="139"/>
      <c r="E675" s="188"/>
    </row>
    <row r="676" spans="1:5">
      <c r="A676" s="138"/>
      <c r="B676" s="139"/>
      <c r="E676" s="188"/>
    </row>
    <row r="677" spans="1:5">
      <c r="A677" s="138"/>
      <c r="B677" s="139"/>
      <c r="E677" s="188"/>
    </row>
    <row r="678" spans="1:5">
      <c r="A678" s="138"/>
      <c r="B678" s="139"/>
      <c r="E678" s="188"/>
    </row>
    <row r="679" spans="1:5">
      <c r="A679" s="138"/>
      <c r="B679" s="139"/>
      <c r="E679" s="188"/>
    </row>
    <row r="680" spans="1:5">
      <c r="A680" s="138"/>
      <c r="B680" s="139"/>
      <c r="E680" s="188"/>
    </row>
    <row r="681" spans="1:5">
      <c r="A681" s="138"/>
      <c r="B681" s="139"/>
      <c r="E681" s="188"/>
    </row>
    <row r="682" spans="1:5">
      <c r="A682" s="138"/>
      <c r="B682" s="139"/>
      <c r="E682" s="188"/>
    </row>
    <row r="683" spans="1:5">
      <c r="A683" s="138"/>
      <c r="B683" s="139"/>
      <c r="E683" s="188"/>
    </row>
    <row r="684" spans="1:5">
      <c r="A684" s="138"/>
      <c r="B684" s="139"/>
      <c r="E684" s="188"/>
    </row>
    <row r="685" spans="1:5">
      <c r="A685" s="138"/>
      <c r="B685" s="139"/>
      <c r="E685" s="188"/>
    </row>
    <row r="686" spans="1:5">
      <c r="A686" s="138"/>
      <c r="B686" s="139"/>
      <c r="E686" s="188"/>
    </row>
    <row r="687" spans="1:5">
      <c r="A687" s="138"/>
      <c r="B687" s="139"/>
      <c r="E687" s="188"/>
    </row>
    <row r="688" spans="1:5">
      <c r="A688" s="138"/>
      <c r="B688" s="139"/>
      <c r="E688" s="188"/>
    </row>
    <row r="689" spans="1:5">
      <c r="A689" s="138"/>
      <c r="B689" s="139"/>
      <c r="E689" s="188"/>
    </row>
    <row r="690" spans="1:5">
      <c r="A690" s="138"/>
      <c r="B690" s="139"/>
      <c r="E690" s="188"/>
    </row>
    <row r="691" spans="1:5">
      <c r="A691" s="138"/>
      <c r="B691" s="139"/>
      <c r="E691" s="188"/>
    </row>
    <row r="692" spans="1:5">
      <c r="A692" s="138"/>
      <c r="B692" s="139"/>
      <c r="E692" s="188"/>
    </row>
    <row r="693" spans="1:5">
      <c r="A693" s="138"/>
      <c r="B693" s="139"/>
      <c r="E693" s="188"/>
    </row>
    <row r="694" spans="1:5">
      <c r="A694" s="138"/>
      <c r="B694" s="139"/>
      <c r="E694" s="188"/>
    </row>
    <row r="695" spans="1:5">
      <c r="A695" s="138"/>
      <c r="B695" s="139"/>
      <c r="E695" s="188"/>
    </row>
    <row r="696" spans="1:5">
      <c r="A696" s="138"/>
      <c r="B696" s="139"/>
      <c r="E696" s="188"/>
    </row>
    <row r="697" spans="1:5">
      <c r="A697" s="138"/>
      <c r="B697" s="139"/>
      <c r="E697" s="188"/>
    </row>
    <row r="698" spans="1:5">
      <c r="A698" s="138"/>
      <c r="B698" s="139"/>
      <c r="E698" s="188"/>
    </row>
    <row r="699" spans="1:5">
      <c r="A699" s="138"/>
      <c r="B699" s="139"/>
      <c r="E699" s="188"/>
    </row>
    <row r="700" spans="1:5">
      <c r="A700" s="138"/>
      <c r="B700" s="139"/>
      <c r="E700" s="188"/>
    </row>
    <row r="701" spans="1:5">
      <c r="A701" s="138"/>
      <c r="B701" s="139"/>
      <c r="E701" s="188"/>
    </row>
    <row r="702" spans="1:5">
      <c r="A702" s="138"/>
      <c r="B702" s="139"/>
      <c r="E702" s="188"/>
    </row>
    <row r="703" spans="1:5">
      <c r="A703" s="138"/>
      <c r="B703" s="139"/>
      <c r="E703" s="188"/>
    </row>
    <row r="704" spans="1:5">
      <c r="A704" s="138"/>
      <c r="B704" s="139"/>
      <c r="E704" s="188"/>
    </row>
    <row r="705" spans="1:5">
      <c r="A705" s="138"/>
      <c r="B705" s="139"/>
      <c r="E705" s="188"/>
    </row>
    <row r="706" spans="1:5">
      <c r="A706" s="138"/>
      <c r="B706" s="139"/>
      <c r="E706" s="188"/>
    </row>
    <row r="707" spans="1:5">
      <c r="A707" s="138"/>
      <c r="B707" s="139"/>
      <c r="E707" s="188"/>
    </row>
    <row r="708" spans="1:5">
      <c r="A708" s="138"/>
      <c r="B708" s="139"/>
      <c r="E708" s="188"/>
    </row>
    <row r="709" spans="1:5">
      <c r="A709" s="138"/>
      <c r="B709" s="139"/>
      <c r="E709" s="188"/>
    </row>
    <row r="710" spans="1:5">
      <c r="A710" s="138"/>
      <c r="B710" s="139"/>
      <c r="E710" s="188"/>
    </row>
    <row r="711" spans="1:5">
      <c r="A711" s="138"/>
      <c r="B711" s="139"/>
      <c r="E711" s="188"/>
    </row>
    <row r="712" spans="1:5">
      <c r="A712" s="138"/>
      <c r="B712" s="139"/>
      <c r="E712" s="188"/>
    </row>
    <row r="713" spans="1:5">
      <c r="A713" s="138"/>
      <c r="B713" s="139"/>
      <c r="E713" s="188"/>
    </row>
    <row r="714" spans="1:5">
      <c r="A714" s="138"/>
      <c r="B714" s="139"/>
      <c r="E714" s="188"/>
    </row>
    <row r="715" spans="1:5">
      <c r="A715" s="138"/>
      <c r="B715" s="139"/>
      <c r="E715" s="188"/>
    </row>
    <row r="716" spans="1:5">
      <c r="A716" s="138"/>
      <c r="B716" s="139"/>
      <c r="E716" s="188"/>
    </row>
    <row r="717" spans="1:5">
      <c r="A717" s="138"/>
      <c r="B717" s="139"/>
      <c r="E717" s="188"/>
    </row>
    <row r="718" spans="1:5">
      <c r="A718" s="138"/>
      <c r="B718" s="139"/>
      <c r="E718" s="188"/>
    </row>
    <row r="719" spans="1:5">
      <c r="A719" s="138"/>
      <c r="B719" s="139"/>
      <c r="E719" s="188"/>
    </row>
    <row r="720" spans="1:5">
      <c r="A720" s="138"/>
      <c r="B720" s="139"/>
      <c r="E720" s="188"/>
    </row>
    <row r="721" spans="1:5">
      <c r="A721" s="138"/>
      <c r="B721" s="139"/>
      <c r="E721" s="188"/>
    </row>
    <row r="722" spans="1:5">
      <c r="A722" s="138"/>
      <c r="B722" s="139"/>
      <c r="E722" s="188"/>
    </row>
    <row r="723" spans="1:5">
      <c r="A723" s="138"/>
      <c r="B723" s="139"/>
      <c r="E723" s="188"/>
    </row>
    <row r="724" spans="1:5">
      <c r="A724" s="138"/>
      <c r="B724" s="139"/>
      <c r="E724" s="188"/>
    </row>
    <row r="725" spans="1:5">
      <c r="A725" s="138"/>
      <c r="B725" s="139"/>
      <c r="E725" s="188"/>
    </row>
    <row r="726" spans="1:5">
      <c r="A726" s="138"/>
      <c r="B726" s="139"/>
      <c r="E726" s="188"/>
    </row>
    <row r="727" spans="1:5">
      <c r="A727" s="138"/>
      <c r="B727" s="139"/>
      <c r="E727" s="188"/>
    </row>
    <row r="728" spans="1:5">
      <c r="A728" s="138"/>
      <c r="B728" s="139"/>
      <c r="E728" s="188"/>
    </row>
    <row r="729" spans="1:5">
      <c r="A729" s="138"/>
      <c r="B729" s="139"/>
      <c r="E729" s="188"/>
    </row>
    <row r="730" spans="1:5">
      <c r="A730" s="138"/>
      <c r="B730" s="139"/>
      <c r="E730" s="188"/>
    </row>
    <row r="731" spans="1:5">
      <c r="A731" s="138"/>
      <c r="B731" s="139"/>
      <c r="E731" s="188"/>
    </row>
    <row r="732" spans="1:5">
      <c r="A732" s="138"/>
      <c r="B732" s="139"/>
      <c r="E732" s="188"/>
    </row>
    <row r="733" spans="1:5">
      <c r="A733" s="138"/>
      <c r="B733" s="139"/>
      <c r="E733" s="188"/>
    </row>
    <row r="734" spans="1:5">
      <c r="A734" s="138"/>
      <c r="B734" s="139"/>
      <c r="E734" s="188"/>
    </row>
    <row r="735" spans="1:5">
      <c r="A735" s="138"/>
      <c r="B735" s="139"/>
      <c r="E735" s="188"/>
    </row>
    <row r="736" spans="1:5">
      <c r="A736" s="138"/>
      <c r="B736" s="139"/>
      <c r="E736" s="188"/>
    </row>
    <row r="737" spans="1:5">
      <c r="A737" s="138"/>
      <c r="B737" s="139"/>
      <c r="E737" s="188"/>
    </row>
    <row r="738" spans="1:5">
      <c r="A738" s="138"/>
      <c r="B738" s="139"/>
      <c r="E738" s="188"/>
    </row>
    <row r="739" spans="1:5">
      <c r="A739" s="138"/>
      <c r="B739" s="139"/>
      <c r="E739" s="188"/>
    </row>
    <row r="740" spans="1:5">
      <c r="A740" s="138"/>
      <c r="B740" s="139"/>
      <c r="E740" s="188"/>
    </row>
    <row r="741" spans="1:5">
      <c r="A741" s="138"/>
      <c r="B741" s="139"/>
      <c r="E741" s="188"/>
    </row>
    <row r="742" spans="1:5">
      <c r="A742" s="138"/>
      <c r="B742" s="139"/>
      <c r="E742" s="188"/>
    </row>
    <row r="743" spans="1:5">
      <c r="A743" s="138"/>
      <c r="B743" s="139"/>
      <c r="E743" s="188"/>
    </row>
    <row r="744" spans="1:5">
      <c r="A744" s="138"/>
      <c r="B744" s="139"/>
      <c r="E744" s="188"/>
    </row>
    <row r="745" spans="1:5">
      <c r="A745" s="138"/>
      <c r="B745" s="139"/>
      <c r="E745" s="188"/>
    </row>
    <row r="746" spans="1:5">
      <c r="A746" s="138"/>
      <c r="B746" s="139"/>
      <c r="E746" s="188"/>
    </row>
    <row r="747" spans="1:5">
      <c r="A747" s="138"/>
      <c r="B747" s="139"/>
      <c r="E747" s="188"/>
    </row>
    <row r="748" spans="1:5">
      <c r="A748" s="138"/>
      <c r="B748" s="139"/>
      <c r="E748" s="188"/>
    </row>
    <row r="749" spans="1:5">
      <c r="A749" s="138"/>
      <c r="B749" s="139"/>
      <c r="E749" s="188"/>
    </row>
    <row r="750" spans="1:5">
      <c r="A750" s="138"/>
      <c r="B750" s="139"/>
      <c r="E750" s="188"/>
    </row>
    <row r="751" spans="1:5">
      <c r="A751" s="138"/>
      <c r="B751" s="139"/>
      <c r="E751" s="188"/>
    </row>
    <row r="752" spans="1:5">
      <c r="A752" s="138"/>
      <c r="B752" s="139"/>
      <c r="E752" s="188"/>
    </row>
    <row r="753" spans="1:5">
      <c r="A753" s="138"/>
      <c r="B753" s="139"/>
      <c r="E753" s="188"/>
    </row>
    <row r="754" spans="1:5">
      <c r="A754" s="138"/>
      <c r="B754" s="139"/>
      <c r="E754" s="188"/>
    </row>
    <row r="755" spans="1:5">
      <c r="A755" s="138"/>
      <c r="B755" s="139"/>
      <c r="E755" s="188"/>
    </row>
    <row r="756" spans="1:5">
      <c r="A756" s="138"/>
      <c r="B756" s="139"/>
      <c r="E756" s="188"/>
    </row>
    <row r="757" spans="1:5">
      <c r="A757" s="138"/>
      <c r="B757" s="139"/>
      <c r="E757" s="188"/>
    </row>
    <row r="758" spans="1:5">
      <c r="A758" s="138"/>
      <c r="B758" s="139"/>
      <c r="E758" s="188"/>
    </row>
    <row r="759" spans="1:5">
      <c r="A759" s="138"/>
      <c r="B759" s="139"/>
      <c r="E759" s="188"/>
    </row>
    <row r="760" spans="1:5">
      <c r="A760" s="138"/>
      <c r="B760" s="139"/>
      <c r="E760" s="188"/>
    </row>
    <row r="761" spans="1:5">
      <c r="A761" s="138"/>
      <c r="B761" s="139"/>
      <c r="E761" s="188"/>
    </row>
    <row r="762" spans="1:5">
      <c r="A762" s="138"/>
      <c r="B762" s="139"/>
      <c r="E762" s="188"/>
    </row>
    <row r="763" spans="1:5">
      <c r="A763" s="138"/>
      <c r="B763" s="139"/>
      <c r="E763" s="188"/>
    </row>
    <row r="764" spans="1:5">
      <c r="A764" s="138"/>
      <c r="B764" s="139"/>
      <c r="E764" s="188"/>
    </row>
    <row r="765" spans="1:5">
      <c r="A765" s="138"/>
      <c r="B765" s="139"/>
      <c r="E765" s="188"/>
    </row>
    <row r="766" spans="1:5">
      <c r="A766" s="138"/>
      <c r="B766" s="139"/>
      <c r="E766" s="188"/>
    </row>
    <row r="767" spans="1:5">
      <c r="A767" s="138"/>
      <c r="B767" s="139"/>
      <c r="E767" s="188"/>
    </row>
    <row r="768" spans="1:5">
      <c r="A768" s="138"/>
      <c r="B768" s="139"/>
      <c r="E768" s="188"/>
    </row>
    <row r="769" spans="1:5">
      <c r="A769" s="138"/>
      <c r="B769" s="139"/>
      <c r="E769" s="188"/>
    </row>
    <row r="770" spans="1:5">
      <c r="A770" s="138"/>
      <c r="B770" s="139"/>
      <c r="E770" s="188"/>
    </row>
    <row r="771" spans="1:5">
      <c r="A771" s="138"/>
      <c r="B771" s="139"/>
      <c r="E771" s="188"/>
    </row>
    <row r="772" spans="1:5">
      <c r="A772" s="138"/>
      <c r="B772" s="139"/>
      <c r="E772" s="188"/>
    </row>
    <row r="773" spans="1:5">
      <c r="A773" s="138"/>
      <c r="B773" s="139"/>
      <c r="E773" s="188"/>
    </row>
    <row r="774" spans="1:5">
      <c r="A774" s="138"/>
      <c r="B774" s="139"/>
      <c r="E774" s="188"/>
    </row>
    <row r="775" spans="1:5">
      <c r="A775" s="138"/>
      <c r="B775" s="139"/>
      <c r="E775" s="188"/>
    </row>
    <row r="776" spans="1:5">
      <c r="A776" s="138"/>
      <c r="B776" s="139"/>
      <c r="E776" s="188"/>
    </row>
    <row r="777" spans="1:5">
      <c r="A777" s="138"/>
      <c r="B777" s="139"/>
      <c r="E777" s="188"/>
    </row>
    <row r="778" spans="1:5">
      <c r="A778" s="138"/>
      <c r="B778" s="139"/>
      <c r="E778" s="188"/>
    </row>
  </sheetData>
  <mergeCells count="9">
    <mergeCell ref="A213:B213"/>
    <mergeCell ref="AC6:AC8"/>
    <mergeCell ref="A7:A8"/>
    <mergeCell ref="J7:M7"/>
    <mergeCell ref="N7:Q7"/>
    <mergeCell ref="V7:Y7"/>
    <mergeCell ref="A210:D210"/>
    <mergeCell ref="G210:Q210"/>
    <mergeCell ref="V210:Y210"/>
  </mergeCells>
  <printOptions horizontalCentered="1"/>
  <pageMargins left="0.43307086614173229" right="0.15748031496062992" top="0.6692913385826772" bottom="0.43" header="0.23622047244094491" footer="0.15748031496062992"/>
  <pageSetup paperSize="9" scale="50" orientation="landscape" r:id="rId1"/>
  <headerFooter alignWithMargins="0">
    <oddHeader>&amp;Rปริมาณงานโครงสร้างทางแผ่นที่&amp;P/&amp;N</oddHeader>
  </headerFooter>
  <rowBreaks count="2" manualBreakCount="2">
    <brk id="132" max="28" man="1"/>
    <brk id="168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</sheetPr>
  <dimension ref="A1:AE50"/>
  <sheetViews>
    <sheetView tabSelected="1" view="pageBreakPreview" topLeftCell="A4" zoomScaleSheetLayoutView="100" workbookViewId="0">
      <selection activeCell="I23" sqref="I23"/>
    </sheetView>
  </sheetViews>
  <sheetFormatPr defaultColWidth="9" defaultRowHeight="21.75"/>
  <cols>
    <col min="1" max="1" width="5.75" style="574" customWidth="1"/>
    <col min="2" max="3" width="10.75" style="574" customWidth="1"/>
    <col min="4" max="4" width="5.75" style="574" customWidth="1"/>
    <col min="5" max="5" width="9.75" style="574" customWidth="1"/>
    <col min="6" max="6" width="4.75" style="574" customWidth="1"/>
    <col min="7" max="7" width="12.75" style="574" customWidth="1"/>
    <col min="8" max="8" width="10.75" style="574" customWidth="1"/>
    <col min="9" max="9" width="13.5" style="574" customWidth="1"/>
    <col min="10" max="10" width="17.75" style="574" customWidth="1"/>
    <col min="11" max="11" width="8.5" style="574" customWidth="1"/>
    <col min="12" max="12" width="9" style="574"/>
    <col min="13" max="13" width="12.75" style="574" customWidth="1"/>
    <col min="14" max="14" width="13.125" style="574" customWidth="1"/>
    <col min="15" max="15" width="25.75" style="574" customWidth="1"/>
    <col min="16" max="19" width="9" style="574"/>
    <col min="20" max="22" width="9" style="575"/>
    <col min="23" max="23" width="9" style="574"/>
    <col min="24" max="25" width="9" style="575"/>
    <col min="26" max="30" width="9" style="574"/>
    <col min="31" max="31" width="9" style="575"/>
    <col min="32" max="16384" width="9" style="574"/>
  </cols>
  <sheetData>
    <row r="1" spans="1:31" ht="20.100000000000001" customHeight="1">
      <c r="A1" s="1527" t="s">
        <v>1970</v>
      </c>
      <c r="B1" s="1527"/>
      <c r="C1" s="1527"/>
      <c r="D1" s="1527"/>
      <c r="E1" s="1527"/>
      <c r="F1" s="1527"/>
      <c r="G1" s="1527"/>
      <c r="H1" s="1527"/>
      <c r="I1" s="1527"/>
      <c r="J1" s="1527"/>
      <c r="K1" s="1527"/>
      <c r="T1" s="575" t="s">
        <v>1434</v>
      </c>
      <c r="U1" s="575" t="s">
        <v>420</v>
      </c>
      <c r="V1" s="575" t="s">
        <v>1435</v>
      </c>
      <c r="Y1" s="575" t="s">
        <v>1445</v>
      </c>
      <c r="Z1" s="574" t="s">
        <v>1342</v>
      </c>
      <c r="AB1" s="575">
        <f>IF(C5=Y2,X2,IF(C5=Y3,X3,IF(C5=Y4,X4,IF(C5=Y5,X5,IF(C5=Y6,X6,IF(C5=Y7,X7,IF(C5=Y8,X8,IF(C5=Y9,X9,IF(C5=Y10,X10,IF(C5=Y11,X11,IF(C5=Y12,X12,IF(C5=Y13,X13,IF(C5=Y14,X14,IF(C5=Y15,X15,IF(C5=Y16,X16,IF(C5=Y17,X17,IF(C5=Y18,X18,IF(C5=Y19,X19,IF(C5=Y20,X20,IF(C5=Y21,X21,IF(C5=Y22,X22,IF(C5=Y23,X23,IF(C5=Y24,X24,IF(C5=Y25,X25,IF(C5=Y26,X26,IF(C5=Y27,X27,IF(C5=Y28,X28,IF(C5=Y29,X29,IF(C5=Y30,X30,IF(C5=Y31,X31,IF(C5=Y32,X32,IF(C5=Y33,X33,IF(C5=Y34,X34,IF(C5=Y35,X35,IF(C5=Y36,X36,IF(C5=Y37,X37,IF(C5=Y38,X38,IF(C5=Y39,X39,IF(C5=Y40,X40,IF(C5=Y41,X41,IF(C5=Y42,X42,IF(C5=Y43,X43,IF(C5=Y44,X44,IF(C5=Y45,X45,IF(C5=Y46,X46,IF(C5=Y47,X47,IF(C5=Y48,X48,IF(C5=Y49,X49,X50))))))))))))))))))))))))))))))))))))))))))))))))</f>
        <v>48</v>
      </c>
      <c r="AC1" s="574" t="s">
        <v>1879</v>
      </c>
      <c r="AE1" s="575" t="s">
        <v>15</v>
      </c>
    </row>
    <row r="2" spans="1:31" ht="20.100000000000001" customHeight="1">
      <c r="A2" s="576" t="s">
        <v>414</v>
      </c>
      <c r="B2" s="577"/>
      <c r="C2" s="578" t="s">
        <v>2081</v>
      </c>
      <c r="D2" s="578"/>
      <c r="E2" s="578"/>
      <c r="F2" s="578"/>
      <c r="G2" s="579"/>
      <c r="H2" s="579"/>
      <c r="I2" s="578" t="s">
        <v>2082</v>
      </c>
      <c r="J2" s="579"/>
      <c r="K2" s="578"/>
      <c r="T2" s="575" t="s">
        <v>10</v>
      </c>
      <c r="U2" s="575" t="s">
        <v>10</v>
      </c>
      <c r="V2" s="575" t="s">
        <v>10</v>
      </c>
      <c r="X2" s="575">
        <v>0</v>
      </c>
      <c r="Y2" s="575" t="s">
        <v>1446</v>
      </c>
      <c r="Z2" s="574" t="s">
        <v>1446</v>
      </c>
      <c r="AE2" s="575">
        <v>0</v>
      </c>
    </row>
    <row r="3" spans="1:31" ht="20.100000000000001" customHeight="1">
      <c r="A3" s="576"/>
      <c r="B3" s="577"/>
      <c r="C3" s="578" t="s">
        <v>2083</v>
      </c>
      <c r="D3" s="578"/>
      <c r="E3" s="578"/>
      <c r="F3" s="578"/>
      <c r="G3" s="579"/>
      <c r="H3" s="579"/>
      <c r="I3" s="578" t="s">
        <v>2084</v>
      </c>
      <c r="J3" s="579"/>
      <c r="K3" s="578"/>
      <c r="T3" s="575">
        <v>1</v>
      </c>
      <c r="U3" s="575" t="s">
        <v>1436</v>
      </c>
      <c r="V3" s="575">
        <v>2556</v>
      </c>
      <c r="W3" s="575"/>
      <c r="X3" s="575">
        <v>1</v>
      </c>
      <c r="Y3" s="575" t="s">
        <v>1447</v>
      </c>
      <c r="Z3" s="574" t="s">
        <v>1879</v>
      </c>
      <c r="AE3" s="580">
        <v>15.537000000000001</v>
      </c>
    </row>
    <row r="4" spans="1:31" ht="20.100000000000001" customHeight="1">
      <c r="A4" s="576" t="s">
        <v>416</v>
      </c>
      <c r="B4" s="576"/>
      <c r="C4" s="581" t="s">
        <v>1941</v>
      </c>
      <c r="D4" s="581"/>
      <c r="E4" s="582"/>
      <c r="F4" s="582"/>
      <c r="G4" s="583"/>
      <c r="H4" s="584"/>
      <c r="I4" s="585"/>
      <c r="J4" s="586"/>
      <c r="K4" s="578"/>
      <c r="T4" s="575">
        <v>2</v>
      </c>
      <c r="U4" s="575" t="s">
        <v>1341</v>
      </c>
      <c r="V4" s="575">
        <v>2557</v>
      </c>
      <c r="X4" s="575">
        <v>2</v>
      </c>
      <c r="Y4" s="575" t="s">
        <v>1448</v>
      </c>
      <c r="Z4" s="574" t="s">
        <v>1880</v>
      </c>
      <c r="AE4" s="580">
        <v>12.891999999999999</v>
      </c>
    </row>
    <row r="5" spans="1:31" ht="20.100000000000001" customHeight="1">
      <c r="A5" s="576" t="s">
        <v>2112</v>
      </c>
      <c r="B5" s="576"/>
      <c r="C5" s="587"/>
      <c r="D5" s="1478"/>
      <c r="E5" s="587"/>
      <c r="F5" s="587"/>
      <c r="G5" s="587"/>
      <c r="H5" s="587"/>
      <c r="I5" s="587"/>
      <c r="J5" s="586"/>
      <c r="K5" s="578"/>
      <c r="T5" s="575">
        <v>3</v>
      </c>
      <c r="U5" s="575" t="s">
        <v>1412</v>
      </c>
      <c r="V5" s="575">
        <v>2558</v>
      </c>
      <c r="X5" s="575">
        <v>3</v>
      </c>
      <c r="Y5" s="575" t="s">
        <v>1449</v>
      </c>
      <c r="Z5" s="574" t="s">
        <v>1881</v>
      </c>
      <c r="AE5" s="580">
        <v>13.653</v>
      </c>
    </row>
    <row r="6" spans="1:31" ht="20.100000000000001" customHeight="1">
      <c r="A6" s="576" t="s">
        <v>417</v>
      </c>
      <c r="B6" s="576"/>
      <c r="C6" s="587" t="s">
        <v>2085</v>
      </c>
      <c r="D6" s="587"/>
      <c r="E6" s="588"/>
      <c r="F6" s="588"/>
      <c r="G6" s="589"/>
      <c r="H6" s="587"/>
      <c r="I6" s="586"/>
      <c r="J6" s="586"/>
      <c r="K6" s="578"/>
      <c r="T6" s="575">
        <v>4</v>
      </c>
      <c r="U6" s="575" t="s">
        <v>1437</v>
      </c>
      <c r="V6" s="575">
        <v>2559</v>
      </c>
      <c r="X6" s="575">
        <v>4</v>
      </c>
      <c r="Y6" s="575" t="s">
        <v>1450</v>
      </c>
      <c r="Z6" s="574" t="s">
        <v>1882</v>
      </c>
      <c r="AE6" s="580">
        <v>12.749000000000001</v>
      </c>
    </row>
    <row r="7" spans="1:31" ht="20.100000000000001" customHeight="1">
      <c r="A7" s="586" t="s">
        <v>1630</v>
      </c>
      <c r="B7" s="576"/>
      <c r="C7" s="590" t="s">
        <v>2098</v>
      </c>
      <c r="D7" s="678">
        <v>0</v>
      </c>
      <c r="F7" s="601"/>
      <c r="G7" s="592" t="s">
        <v>16</v>
      </c>
      <c r="H7" s="593">
        <v>5</v>
      </c>
      <c r="I7" s="586" t="s">
        <v>1805</v>
      </c>
      <c r="J7" s="594"/>
      <c r="K7" s="578" t="s">
        <v>181</v>
      </c>
      <c r="L7" s="574" t="s">
        <v>1822</v>
      </c>
      <c r="O7" s="595" t="s">
        <v>1823</v>
      </c>
      <c r="T7" s="575">
        <v>5</v>
      </c>
      <c r="U7" s="575" t="s">
        <v>1438</v>
      </c>
      <c r="V7" s="575">
        <v>2560</v>
      </c>
      <c r="X7" s="575">
        <v>5</v>
      </c>
      <c r="Y7" s="575" t="s">
        <v>1451</v>
      </c>
      <c r="Z7" s="574" t="s">
        <v>1883</v>
      </c>
      <c r="AE7" s="580">
        <v>21.084</v>
      </c>
    </row>
    <row r="8" spans="1:31" ht="20.100000000000001" hidden="1" customHeight="1">
      <c r="A8" s="576"/>
      <c r="B8" s="576"/>
      <c r="C8" s="590" t="s">
        <v>1631</v>
      </c>
      <c r="D8" s="678" t="s">
        <v>1328</v>
      </c>
      <c r="F8" s="601"/>
      <c r="G8" s="592" t="s">
        <v>16</v>
      </c>
      <c r="H8" s="593">
        <v>0</v>
      </c>
      <c r="I8" s="586" t="s">
        <v>744</v>
      </c>
      <c r="J8" s="586"/>
      <c r="K8" s="578"/>
      <c r="M8" s="596">
        <f>INT(N8/O8)+3</f>
        <v>3</v>
      </c>
      <c r="N8" s="597">
        <f>E14-C14</f>
        <v>0</v>
      </c>
      <c r="O8" s="598">
        <v>35</v>
      </c>
      <c r="T8" s="575">
        <v>6</v>
      </c>
      <c r="U8" s="575" t="s">
        <v>906</v>
      </c>
      <c r="V8" s="575">
        <v>2561</v>
      </c>
      <c r="X8" s="575">
        <v>6</v>
      </c>
      <c r="Y8" s="575" t="s">
        <v>1452</v>
      </c>
      <c r="Z8" s="574" t="s">
        <v>1884</v>
      </c>
      <c r="AE8" s="580">
        <v>14.84</v>
      </c>
    </row>
    <row r="9" spans="1:31" ht="20.100000000000001" customHeight="1">
      <c r="A9" s="576"/>
      <c r="B9" s="576"/>
      <c r="C9" s="590"/>
      <c r="D9" s="590"/>
      <c r="F9" s="601"/>
      <c r="G9" s="1439" t="s">
        <v>1294</v>
      </c>
      <c r="H9" s="593">
        <v>5</v>
      </c>
      <c r="I9" s="586" t="s">
        <v>744</v>
      </c>
      <c r="J9" s="586"/>
      <c r="K9" s="578"/>
      <c r="M9" s="596"/>
      <c r="N9" s="597"/>
      <c r="O9" s="598"/>
      <c r="T9" s="575">
        <v>7</v>
      </c>
      <c r="U9" s="575" t="s">
        <v>1439</v>
      </c>
      <c r="V9" s="575">
        <v>2562</v>
      </c>
      <c r="X9" s="575">
        <v>7</v>
      </c>
      <c r="Y9" s="575" t="s">
        <v>1453</v>
      </c>
      <c r="Z9" s="574" t="s">
        <v>1885</v>
      </c>
      <c r="AE9" s="580">
        <v>13.321</v>
      </c>
    </row>
    <row r="10" spans="1:31" ht="20.100000000000001" customHeight="1">
      <c r="A10" s="590" t="s">
        <v>418</v>
      </c>
      <c r="B10" s="599"/>
      <c r="C10" s="600"/>
      <c r="D10" s="600"/>
      <c r="E10" s="601" t="s">
        <v>1628</v>
      </c>
      <c r="F10" s="601"/>
      <c r="G10" s="579" t="s">
        <v>419</v>
      </c>
      <c r="H10" s="602">
        <v>1</v>
      </c>
      <c r="I10" s="586" t="s">
        <v>11</v>
      </c>
      <c r="J10" s="576"/>
      <c r="K10" s="578"/>
      <c r="L10" s="591"/>
      <c r="M10" s="596"/>
      <c r="N10" s="597"/>
      <c r="O10" s="598"/>
      <c r="T10" s="575">
        <v>8</v>
      </c>
      <c r="U10" s="575" t="s">
        <v>1440</v>
      </c>
      <c r="V10" s="575">
        <v>2563</v>
      </c>
      <c r="X10" s="575">
        <v>8</v>
      </c>
      <c r="Y10" s="575" t="s">
        <v>1454</v>
      </c>
      <c r="Z10" s="574" t="s">
        <v>1886</v>
      </c>
      <c r="AE10" s="580">
        <v>11.117000000000001</v>
      </c>
    </row>
    <row r="11" spans="1:31" ht="20.100000000000001" customHeight="1">
      <c r="A11" s="590"/>
      <c r="B11" s="599"/>
      <c r="C11" s="600"/>
      <c r="D11" s="600"/>
      <c r="E11" s="601" t="s">
        <v>1629</v>
      </c>
      <c r="F11" s="601"/>
      <c r="G11" s="579" t="s">
        <v>419</v>
      </c>
      <c r="H11" s="602">
        <v>0</v>
      </c>
      <c r="I11" s="586" t="s">
        <v>11</v>
      </c>
      <c r="J11" s="576"/>
      <c r="K11" s="578"/>
      <c r="M11" s="596"/>
      <c r="N11" s="597"/>
      <c r="O11" s="598"/>
      <c r="T11" s="575">
        <v>9</v>
      </c>
      <c r="U11" s="575" t="s">
        <v>1441</v>
      </c>
      <c r="V11" s="575">
        <v>2564</v>
      </c>
      <c r="X11" s="575">
        <v>9</v>
      </c>
      <c r="Y11" s="575" t="s">
        <v>1455</v>
      </c>
      <c r="Z11" s="574" t="s">
        <v>1887</v>
      </c>
      <c r="AE11" s="580">
        <v>11.672000000000001</v>
      </c>
    </row>
    <row r="12" spans="1:31" ht="20.100000000000001" customHeight="1">
      <c r="A12" s="590"/>
      <c r="B12" s="599"/>
      <c r="C12" s="600"/>
      <c r="D12" s="600"/>
      <c r="E12" s="601" t="s">
        <v>1406</v>
      </c>
      <c r="F12" s="601"/>
      <c r="G12" s="579" t="s">
        <v>419</v>
      </c>
      <c r="H12" s="602">
        <v>1</v>
      </c>
      <c r="I12" s="586" t="s">
        <v>11</v>
      </c>
      <c r="J12" s="576"/>
      <c r="K12" s="578"/>
      <c r="L12" s="594">
        <f>Soil!B1</f>
        <v>0.84</v>
      </c>
      <c r="M12" s="596" t="s">
        <v>181</v>
      </c>
      <c r="N12" s="597"/>
      <c r="T12" s="575">
        <v>10</v>
      </c>
      <c r="U12" s="575" t="s">
        <v>1442</v>
      </c>
      <c r="V12" s="575">
        <v>2565</v>
      </c>
      <c r="X12" s="575">
        <v>10</v>
      </c>
      <c r="Y12" s="575" t="s">
        <v>1456</v>
      </c>
      <c r="Z12" s="574" t="s">
        <v>1888</v>
      </c>
      <c r="AE12" s="580">
        <v>12.183999999999999</v>
      </c>
    </row>
    <row r="13" spans="1:31" ht="20.100000000000001" customHeight="1">
      <c r="A13" s="590" t="s">
        <v>1961</v>
      </c>
      <c r="B13" s="599"/>
      <c r="C13" s="1440"/>
      <c r="D13" s="574" t="s">
        <v>181</v>
      </c>
      <c r="J13" s="576"/>
      <c r="K13" s="578"/>
      <c r="M13" s="597">
        <f>E14-C14</f>
        <v>0</v>
      </c>
      <c r="T13" s="575">
        <v>11</v>
      </c>
      <c r="U13" s="575" t="s">
        <v>1443</v>
      </c>
      <c r="X13" s="575">
        <v>11</v>
      </c>
      <c r="Y13" s="575" t="s">
        <v>1457</v>
      </c>
      <c r="Z13" s="574" t="s">
        <v>1889</v>
      </c>
      <c r="AE13" s="580">
        <v>11.733000000000001</v>
      </c>
    </row>
    <row r="14" spans="1:31" ht="20.100000000000001" customHeight="1">
      <c r="A14" s="590"/>
      <c r="B14" s="604" t="s">
        <v>1824</v>
      </c>
      <c r="C14" s="605">
        <f>Soil!A9</f>
        <v>0</v>
      </c>
      <c r="D14" s="579" t="s">
        <v>1187</v>
      </c>
      <c r="E14" s="605"/>
      <c r="F14" s="586" t="str">
        <f>"(ซ่อมแซมผิวทางแบบเซอร์เฟซทรีตเมนต์ชั้นเดียว S.S.T. ) ระยะทาง "&amp;FIXED((E14-C14)/1000,3)&amp;" กม.) "</f>
        <v xml:space="preserve">(ซ่อมแซมผิวทางแบบเซอร์เฟซทรีตเมนต์ชั้นเดียว S.S.T. ) ระยะทาง 0.000 กม.) </v>
      </c>
      <c r="J14" s="576"/>
      <c r="K14" s="578"/>
      <c r="M14" s="597"/>
      <c r="T14" s="575">
        <v>12</v>
      </c>
      <c r="U14" s="575" t="s">
        <v>1444</v>
      </c>
      <c r="X14" s="575">
        <v>12</v>
      </c>
      <c r="Y14" s="575" t="s">
        <v>1458</v>
      </c>
      <c r="Z14" s="574" t="s">
        <v>1890</v>
      </c>
      <c r="AE14" s="580">
        <v>4.8620000000000001</v>
      </c>
    </row>
    <row r="15" spans="1:31" ht="20.100000000000001" hidden="1" customHeight="1">
      <c r="A15" s="590"/>
      <c r="B15" s="604" t="s">
        <v>1825</v>
      </c>
      <c r="C15" s="605">
        <v>0</v>
      </c>
      <c r="D15" s="579" t="s">
        <v>1187</v>
      </c>
      <c r="E15" s="605">
        <v>0</v>
      </c>
      <c r="F15" s="586" t="str">
        <f>"(ซ่อมสร้างผิวทางพาราแอสฟัลท์ติกคอนกรีต ระยะทาง "&amp;FIXED((E15-C15)/1000,3)&amp;" กม.) "</f>
        <v xml:space="preserve">(ซ่อมสร้างผิวทางพาราแอสฟัลท์ติกคอนกรีต ระยะทาง 0.000 กม.) </v>
      </c>
      <c r="J15" s="576"/>
      <c r="K15" s="578"/>
      <c r="M15" s="597"/>
      <c r="T15" s="575">
        <v>13</v>
      </c>
      <c r="X15" s="575">
        <v>13</v>
      </c>
      <c r="Y15" s="575" t="s">
        <v>1459</v>
      </c>
      <c r="Z15" s="574" t="s">
        <v>1891</v>
      </c>
      <c r="AE15" s="580">
        <v>10.4</v>
      </c>
    </row>
    <row r="16" spans="1:31" ht="20.100000000000001" hidden="1" customHeight="1">
      <c r="A16" s="590"/>
      <c r="B16" s="604" t="s">
        <v>1826</v>
      </c>
      <c r="C16" s="605"/>
      <c r="D16" s="579" t="s">
        <v>1187</v>
      </c>
      <c r="E16" s="605"/>
      <c r="F16" s="586" t="str">
        <f>"(ซ่อมสร้างผิวทางแอสฟัลท์ติกคอนกรีต ระยะทาง "&amp;FIXED((E16-C16)/1000,3)&amp;" กม.) "</f>
        <v xml:space="preserve">(ซ่อมสร้างผิวทางแอสฟัลท์ติกคอนกรีต ระยะทาง 0.000 กม.) </v>
      </c>
      <c r="J16" s="576"/>
      <c r="K16" s="578"/>
      <c r="N16" s="597">
        <f>SUM(M13:M13)</f>
        <v>0</v>
      </c>
      <c r="T16" s="575">
        <v>14</v>
      </c>
      <c r="X16" s="575">
        <v>14</v>
      </c>
      <c r="Y16" s="575" t="s">
        <v>1460</v>
      </c>
      <c r="Z16" s="574" t="s">
        <v>1892</v>
      </c>
      <c r="AE16" s="580">
        <v>23</v>
      </c>
    </row>
    <row r="17" spans="1:31" ht="20.100000000000001" customHeight="1">
      <c r="A17" s="578" t="s">
        <v>1190</v>
      </c>
      <c r="B17" s="604"/>
      <c r="C17" s="606">
        <v>30</v>
      </c>
      <c r="D17" s="579" t="s">
        <v>420</v>
      </c>
      <c r="E17" s="606" t="s">
        <v>906</v>
      </c>
      <c r="F17" s="579" t="s">
        <v>421</v>
      </c>
      <c r="G17" s="587">
        <v>2563</v>
      </c>
      <c r="J17" s="578"/>
      <c r="M17" s="595" t="s">
        <v>332</v>
      </c>
      <c r="N17" s="607">
        <f>G20+G21</f>
        <v>518779.71</v>
      </c>
      <c r="O17" s="574" t="s">
        <v>238</v>
      </c>
      <c r="T17" s="575">
        <v>15</v>
      </c>
      <c r="X17" s="575">
        <v>15</v>
      </c>
      <c r="Y17" s="575" t="s">
        <v>1461</v>
      </c>
      <c r="Z17" s="574" t="s">
        <v>1893</v>
      </c>
      <c r="AE17" s="580">
        <v>12.443</v>
      </c>
    </row>
    <row r="18" spans="1:31" ht="20.100000000000001" customHeight="1">
      <c r="A18" s="600"/>
      <c r="B18" s="600"/>
      <c r="C18" s="600"/>
      <c r="D18" s="600"/>
      <c r="E18" s="600"/>
      <c r="F18" s="600"/>
      <c r="G18" s="600"/>
      <c r="H18" s="600"/>
      <c r="I18" s="600"/>
      <c r="J18" s="600"/>
      <c r="K18" s="578"/>
      <c r="T18" s="575">
        <v>16</v>
      </c>
      <c r="X18" s="575">
        <v>16</v>
      </c>
      <c r="Y18" s="575" t="s">
        <v>1462</v>
      </c>
      <c r="Z18" s="574" t="s">
        <v>1894</v>
      </c>
      <c r="AE18" s="580">
        <v>4.8949999999999996</v>
      </c>
    </row>
    <row r="19" spans="1:31" ht="20.100000000000001" customHeight="1">
      <c r="A19" s="608" t="s">
        <v>127</v>
      </c>
      <c r="B19" s="609" t="s">
        <v>1</v>
      </c>
      <c r="C19" s="609"/>
      <c r="D19" s="609"/>
      <c r="E19" s="610"/>
      <c r="F19" s="610"/>
      <c r="G19" s="611" t="s">
        <v>332</v>
      </c>
      <c r="H19" s="611" t="s">
        <v>23</v>
      </c>
      <c r="I19" s="611" t="s">
        <v>422</v>
      </c>
      <c r="J19" s="612" t="s">
        <v>3</v>
      </c>
      <c r="K19" s="610"/>
      <c r="M19" s="595" t="s">
        <v>1322</v>
      </c>
      <c r="N19" s="607">
        <v>4000000</v>
      </c>
      <c r="O19" s="574" t="s">
        <v>238</v>
      </c>
      <c r="T19" s="575">
        <v>17</v>
      </c>
      <c r="X19" s="575">
        <v>17</v>
      </c>
      <c r="Y19" s="575" t="s">
        <v>1463</v>
      </c>
      <c r="Z19" s="574" t="s">
        <v>1895</v>
      </c>
      <c r="AE19" s="580">
        <v>5.62</v>
      </c>
    </row>
    <row r="20" spans="1:31" ht="20.100000000000001" customHeight="1">
      <c r="A20" s="613">
        <v>1</v>
      </c>
      <c r="B20" s="614" t="s">
        <v>423</v>
      </c>
      <c r="C20" s="615"/>
      <c r="D20" s="615"/>
      <c r="E20" s="615"/>
      <c r="F20" s="615"/>
      <c r="G20" s="616">
        <f>ปร.4_1!M171</f>
        <v>518779.71</v>
      </c>
      <c r="H20" s="617">
        <f>ปร.4_1!N172</f>
        <v>1.3794999999999999</v>
      </c>
      <c r="I20" s="616">
        <f>ปร.4_1!P173</f>
        <v>715574.66</v>
      </c>
      <c r="J20" s="618" t="s">
        <v>919</v>
      </c>
      <c r="K20" s="619"/>
      <c r="M20" s="595" t="s">
        <v>1323</v>
      </c>
      <c r="N20" s="607">
        <f>I25</f>
        <v>718000</v>
      </c>
      <c r="O20" s="574" t="s">
        <v>238</v>
      </c>
      <c r="T20" s="575">
        <v>18</v>
      </c>
      <c r="X20" s="575">
        <v>18</v>
      </c>
      <c r="Y20" s="575" t="s">
        <v>1464</v>
      </c>
      <c r="Z20" s="574" t="s">
        <v>1896</v>
      </c>
      <c r="AE20" s="580">
        <v>3</v>
      </c>
    </row>
    <row r="21" spans="1:31" ht="20.100000000000001" customHeight="1">
      <c r="A21" s="613">
        <v>2</v>
      </c>
      <c r="B21" s="574" t="s">
        <v>1316</v>
      </c>
      <c r="E21" s="615"/>
      <c r="F21" s="615"/>
      <c r="G21" s="620">
        <f>ปร.4_2!M89</f>
        <v>0</v>
      </c>
      <c r="H21" s="621">
        <f>ปร.4_2!N90</f>
        <v>0</v>
      </c>
      <c r="I21" s="620">
        <f>ปร.4_2!P91</f>
        <v>0</v>
      </c>
      <c r="J21" s="622" t="s">
        <v>424</v>
      </c>
      <c r="K21" s="623" t="s">
        <v>2092</v>
      </c>
      <c r="M21" s="595" t="str">
        <f>IF(N19&lt;N20,"ประเมินราคาสูงไป",IF(N19=N20,"ประเมินราคาพอดีตามงบ","ประเมินราคาต่ำไป"))</f>
        <v>ประเมินราคาต่ำไป</v>
      </c>
      <c r="N21" s="607">
        <f>N19-N20</f>
        <v>3282000</v>
      </c>
      <c r="O21" s="574" t="str">
        <f>IF(N19=N20,"O.K.","บาท")</f>
        <v>บาท</v>
      </c>
      <c r="T21" s="575">
        <v>19</v>
      </c>
      <c r="X21" s="575">
        <v>19</v>
      </c>
      <c r="Y21" s="575" t="s">
        <v>1465</v>
      </c>
      <c r="Z21" s="574" t="s">
        <v>1897</v>
      </c>
      <c r="AE21" s="580">
        <v>8</v>
      </c>
    </row>
    <row r="22" spans="1:31" ht="20.100000000000001" customHeight="1">
      <c r="A22" s="624">
        <v>3</v>
      </c>
      <c r="B22" s="614" t="s">
        <v>2101</v>
      </c>
      <c r="C22" s="615"/>
      <c r="D22" s="615"/>
      <c r="E22" s="615"/>
      <c r="F22" s="615"/>
      <c r="G22" s="620">
        <v>1</v>
      </c>
      <c r="H22" s="621">
        <v>3000</v>
      </c>
      <c r="I22" s="620">
        <f>SUM(G22*H22)</f>
        <v>3000</v>
      </c>
      <c r="J22" s="622" t="s">
        <v>425</v>
      </c>
      <c r="K22" s="623">
        <v>0.06</v>
      </c>
      <c r="T22" s="575">
        <v>20</v>
      </c>
      <c r="X22" s="575">
        <v>20</v>
      </c>
      <c r="Y22" s="575" t="s">
        <v>1466</v>
      </c>
      <c r="Z22" s="574" t="s">
        <v>1898</v>
      </c>
      <c r="AE22" s="580">
        <v>15.59</v>
      </c>
    </row>
    <row r="23" spans="1:31" ht="20.100000000000001" customHeight="1">
      <c r="A23" s="625"/>
      <c r="B23" s="614"/>
      <c r="C23" s="615"/>
      <c r="D23" s="615"/>
      <c r="E23" s="615"/>
      <c r="F23" s="615"/>
      <c r="G23" s="626"/>
      <c r="H23" s="626"/>
      <c r="I23" s="627"/>
      <c r="J23" s="622" t="s">
        <v>427</v>
      </c>
      <c r="K23" s="628">
        <v>0</v>
      </c>
      <c r="T23" s="575">
        <v>21</v>
      </c>
      <c r="X23" s="575">
        <v>21</v>
      </c>
      <c r="Y23" s="575" t="s">
        <v>1467</v>
      </c>
      <c r="Z23" s="574" t="s">
        <v>1899</v>
      </c>
      <c r="AE23" s="580">
        <v>7.2060000000000004</v>
      </c>
    </row>
    <row r="24" spans="1:31" ht="20.100000000000001" customHeight="1">
      <c r="A24" s="629"/>
      <c r="B24" s="630" t="s">
        <v>428</v>
      </c>
      <c r="C24" s="630"/>
      <c r="D24" s="1441"/>
      <c r="E24" s="630"/>
      <c r="F24" s="1441"/>
      <c r="G24" s="631"/>
      <c r="H24" s="632"/>
      <c r="I24" s="607">
        <f>SUM(I20:I23)</f>
        <v>718574.66</v>
      </c>
      <c r="J24" s="633"/>
      <c r="K24" s="634"/>
      <c r="T24" s="575">
        <v>22</v>
      </c>
      <c r="X24" s="575">
        <v>22</v>
      </c>
      <c r="Y24" s="575" t="s">
        <v>1468</v>
      </c>
      <c r="Z24" s="574" t="s">
        <v>1900</v>
      </c>
      <c r="AE24" s="580">
        <v>7.6</v>
      </c>
    </row>
    <row r="25" spans="1:31" ht="20.100000000000001" customHeight="1" thickBot="1">
      <c r="A25" s="613" t="s">
        <v>429</v>
      </c>
      <c r="B25" s="635" t="s">
        <v>430</v>
      </c>
      <c r="C25" s="635"/>
      <c r="D25" s="635"/>
      <c r="E25" s="635"/>
      <c r="F25" s="635"/>
      <c r="G25" s="635"/>
      <c r="H25" s="636"/>
      <c r="I25" s="637">
        <f>ROUNDDOWN(I24,-3)</f>
        <v>718000</v>
      </c>
      <c r="J25" s="638"/>
      <c r="K25" s="639"/>
      <c r="T25" s="575">
        <v>23</v>
      </c>
      <c r="X25" s="575">
        <v>23</v>
      </c>
      <c r="Y25" s="575" t="s">
        <v>1469</v>
      </c>
      <c r="Z25" s="574" t="s">
        <v>1470</v>
      </c>
      <c r="AE25" s="580">
        <v>17.547000000000001</v>
      </c>
    </row>
    <row r="26" spans="1:31" ht="20.100000000000001" customHeight="1" thickTop="1">
      <c r="A26" s="640"/>
      <c r="B26" s="641" t="s">
        <v>431</v>
      </c>
      <c r="C26" s="642" t="str">
        <f>CONCATENATE("(",BAHTTEXT(I25),")")</f>
        <v>(เจ็ดแสนหนึ่งหมื่นแปดพันบาทถ้วน)</v>
      </c>
      <c r="D26" s="642"/>
      <c r="E26" s="643"/>
      <c r="F26" s="643"/>
      <c r="G26" s="643"/>
      <c r="H26" s="643"/>
      <c r="I26" s="644"/>
      <c r="J26" s="644"/>
      <c r="K26" s="645"/>
      <c r="T26" s="575">
        <v>24</v>
      </c>
      <c r="X26" s="575">
        <v>24</v>
      </c>
      <c r="Y26" s="575" t="s">
        <v>1471</v>
      </c>
      <c r="Z26" s="574" t="s">
        <v>1901</v>
      </c>
      <c r="AE26" s="580">
        <v>5.556</v>
      </c>
    </row>
    <row r="27" spans="1:31" ht="20.100000000000001" customHeight="1">
      <c r="A27" s="1349"/>
      <c r="B27" s="1350"/>
      <c r="C27" s="1351"/>
      <c r="D27" s="1351"/>
      <c r="E27" s="1349"/>
      <c r="F27" s="1349"/>
      <c r="G27" s="1349"/>
      <c r="H27" s="1349"/>
      <c r="I27" s="646"/>
      <c r="J27" s="646"/>
      <c r="K27" s="646"/>
      <c r="T27" s="575">
        <v>25</v>
      </c>
      <c r="X27" s="575">
        <v>25</v>
      </c>
      <c r="Y27" s="575" t="s">
        <v>1472</v>
      </c>
      <c r="Z27" s="574" t="s">
        <v>1902</v>
      </c>
      <c r="AE27" s="580">
        <v>8.4</v>
      </c>
    </row>
    <row r="28" spans="1:31" ht="20.100000000000001" customHeight="1">
      <c r="B28" s="590" t="s">
        <v>1778</v>
      </c>
      <c r="C28" s="647"/>
      <c r="D28" s="647"/>
      <c r="E28" s="648">
        <f>ปร.4_1!T2</f>
        <v>0.84</v>
      </c>
      <c r="F28" s="1442" t="s">
        <v>1964</v>
      </c>
      <c r="G28" s="647" t="s">
        <v>1963</v>
      </c>
      <c r="I28" s="649">
        <f>IF(G20=0,0,ROUNDDOWN(I20/E28,0))</f>
        <v>851874</v>
      </c>
      <c r="J28" s="590" t="s">
        <v>238</v>
      </c>
      <c r="K28" s="647"/>
      <c r="T28" s="575">
        <v>26</v>
      </c>
      <c r="X28" s="575">
        <v>26</v>
      </c>
      <c r="Y28" s="575" t="s">
        <v>1779</v>
      </c>
      <c r="Z28" s="574" t="s">
        <v>1903</v>
      </c>
      <c r="AE28" s="580">
        <v>6.1340000000000003</v>
      </c>
    </row>
    <row r="29" spans="1:31" ht="20.100000000000001" customHeight="1">
      <c r="A29" s="590"/>
      <c r="B29" s="590"/>
      <c r="C29" s="647"/>
      <c r="D29" s="647"/>
      <c r="E29" s="1352"/>
      <c r="F29" s="1352"/>
      <c r="G29" s="647"/>
      <c r="H29" s="592"/>
      <c r="I29" s="649"/>
      <c r="J29" s="590"/>
      <c r="K29" s="647"/>
      <c r="O29" s="574" t="s">
        <v>1523</v>
      </c>
      <c r="Q29" s="574" t="s">
        <v>1924</v>
      </c>
      <c r="T29" s="575">
        <v>27</v>
      </c>
      <c r="X29" s="575">
        <v>27</v>
      </c>
      <c r="Y29" s="575" t="s">
        <v>1770</v>
      </c>
      <c r="Z29" s="574" t="s">
        <v>1904</v>
      </c>
      <c r="AE29" s="580">
        <v>5.66</v>
      </c>
    </row>
    <row r="30" spans="1:31" ht="27.75" customHeight="1">
      <c r="A30" s="590"/>
      <c r="B30" s="590"/>
      <c r="C30" s="647"/>
      <c r="D30" s="647"/>
      <c r="E30" s="1352"/>
      <c r="F30" s="1352"/>
      <c r="G30" s="647"/>
      <c r="H30" s="592"/>
      <c r="I30" s="1494"/>
      <c r="J30" s="590"/>
      <c r="K30" s="647"/>
      <c r="Q30" s="574" t="s">
        <v>1925</v>
      </c>
      <c r="T30" s="575">
        <v>28</v>
      </c>
      <c r="X30" s="575">
        <v>28</v>
      </c>
      <c r="Y30" s="575" t="s">
        <v>1446</v>
      </c>
      <c r="Z30" s="574" t="s">
        <v>1446</v>
      </c>
      <c r="AE30" s="580"/>
    </row>
    <row r="31" spans="1:31" ht="20.100000000000001" customHeight="1">
      <c r="A31" s="1528" t="s">
        <v>1523</v>
      </c>
      <c r="B31" s="1528"/>
      <c r="C31" s="1528"/>
      <c r="D31" s="1528"/>
      <c r="E31" s="1503"/>
      <c r="F31" s="1490"/>
      <c r="G31" s="1490"/>
      <c r="H31" s="1490"/>
      <c r="I31" s="1502"/>
      <c r="J31" s="650"/>
      <c r="K31" s="651"/>
      <c r="Q31" s="574" t="s">
        <v>1925</v>
      </c>
      <c r="T31" s="575">
        <v>29</v>
      </c>
      <c r="X31" s="575">
        <v>29</v>
      </c>
      <c r="Y31" s="575" t="s">
        <v>1473</v>
      </c>
      <c r="Z31" s="574" t="s">
        <v>1905</v>
      </c>
      <c r="AE31" s="580">
        <v>13.842000000000001</v>
      </c>
    </row>
    <row r="32" spans="1:31" ht="20.100000000000001" customHeight="1">
      <c r="A32" s="1504" t="s">
        <v>1338</v>
      </c>
      <c r="B32" s="1494"/>
      <c r="C32" s="1494"/>
      <c r="D32" s="1494" t="s">
        <v>2114</v>
      </c>
      <c r="E32" s="1494"/>
      <c r="F32" s="1492"/>
      <c r="G32" s="1490"/>
      <c r="H32" s="1490"/>
      <c r="I32" s="1502"/>
      <c r="J32" s="653"/>
      <c r="K32" s="655"/>
      <c r="T32" s="575">
        <v>30</v>
      </c>
      <c r="X32" s="575">
        <v>30</v>
      </c>
      <c r="Y32" s="575" t="s">
        <v>1474</v>
      </c>
      <c r="Z32" s="574" t="s">
        <v>1906</v>
      </c>
      <c r="AE32" s="580">
        <v>26.558</v>
      </c>
    </row>
    <row r="33" spans="1:31" ht="41.45" customHeight="1">
      <c r="A33" s="1504"/>
      <c r="B33" s="1494" t="s">
        <v>2115</v>
      </c>
      <c r="C33" s="1494"/>
      <c r="D33" s="1494"/>
      <c r="E33" s="1505"/>
      <c r="F33" s="1487"/>
      <c r="G33" s="1490"/>
      <c r="H33" s="1490"/>
      <c r="I33" s="1497"/>
      <c r="J33" s="652"/>
      <c r="K33" s="655"/>
      <c r="L33" s="574">
        <v>1</v>
      </c>
      <c r="M33" s="574" t="s">
        <v>2072</v>
      </c>
      <c r="N33" s="574" t="s">
        <v>2073</v>
      </c>
      <c r="O33" s="574" t="s">
        <v>2088</v>
      </c>
      <c r="Q33" s="574" t="s">
        <v>1235</v>
      </c>
      <c r="T33" s="575">
        <v>31</v>
      </c>
      <c r="X33" s="575">
        <v>31</v>
      </c>
      <c r="Y33" s="575" t="s">
        <v>1475</v>
      </c>
      <c r="Z33" s="574" t="s">
        <v>1907</v>
      </c>
      <c r="AE33" s="580">
        <v>9.3640000000000008</v>
      </c>
    </row>
    <row r="34" spans="1:31" ht="20.100000000000001" customHeight="1">
      <c r="A34" s="1504" t="s">
        <v>1338</v>
      </c>
      <c r="B34" s="1495"/>
      <c r="C34" s="1494"/>
      <c r="D34" s="1494" t="s">
        <v>1925</v>
      </c>
      <c r="E34" s="1494"/>
      <c r="F34" s="1493"/>
      <c r="G34" s="1489"/>
      <c r="H34" s="1487"/>
      <c r="I34" s="1497"/>
      <c r="J34" s="1484"/>
      <c r="K34" s="655"/>
      <c r="L34" s="574">
        <v>2</v>
      </c>
      <c r="M34" s="574" t="s">
        <v>2074</v>
      </c>
      <c r="N34" s="574" t="s">
        <v>2075</v>
      </c>
      <c r="O34" s="574" t="s">
        <v>2076</v>
      </c>
      <c r="Q34" s="574" t="s">
        <v>40</v>
      </c>
      <c r="X34" s="575">
        <v>32</v>
      </c>
      <c r="Y34" s="575" t="s">
        <v>1476</v>
      </c>
      <c r="Z34" s="574" t="s">
        <v>1908</v>
      </c>
      <c r="AE34" s="580">
        <v>9.1549999999999994</v>
      </c>
    </row>
    <row r="35" spans="1:31" ht="20.100000000000001" customHeight="1">
      <c r="A35" s="1504"/>
      <c r="B35" s="1495" t="s">
        <v>2116</v>
      </c>
      <c r="C35" s="1494"/>
      <c r="D35" s="1494"/>
      <c r="E35" s="1494"/>
      <c r="F35" s="1493"/>
      <c r="G35" s="1489"/>
      <c r="H35" s="1487"/>
      <c r="I35" s="1497"/>
      <c r="K35" s="655"/>
      <c r="L35" s="574">
        <v>3</v>
      </c>
      <c r="M35" s="574" t="s">
        <v>2089</v>
      </c>
      <c r="N35" s="574" t="s">
        <v>2090</v>
      </c>
      <c r="O35" s="574" t="s">
        <v>2091</v>
      </c>
      <c r="Q35" s="574" t="s">
        <v>432</v>
      </c>
      <c r="X35" s="575">
        <v>33</v>
      </c>
      <c r="Y35" s="575" t="s">
        <v>1477</v>
      </c>
      <c r="Z35" s="574" t="s">
        <v>1909</v>
      </c>
      <c r="AE35" s="580">
        <v>11.244</v>
      </c>
    </row>
    <row r="36" spans="1:31" ht="35.450000000000003" customHeight="1">
      <c r="A36" s="1504" t="s">
        <v>1338</v>
      </c>
      <c r="B36" s="1494"/>
      <c r="C36" s="1494"/>
      <c r="D36" s="1494" t="s">
        <v>1925</v>
      </c>
      <c r="E36" s="1505"/>
      <c r="H36" s="1500"/>
      <c r="I36" s="1494" t="s">
        <v>2104</v>
      </c>
      <c r="J36" s="1494"/>
      <c r="K36" s="655"/>
      <c r="L36" s="574">
        <v>4</v>
      </c>
      <c r="M36" s="574" t="s">
        <v>2079</v>
      </c>
      <c r="N36" s="574" t="s">
        <v>2078</v>
      </c>
      <c r="O36" s="574" t="s">
        <v>2077</v>
      </c>
      <c r="Q36" s="574" t="s">
        <v>2080</v>
      </c>
      <c r="X36" s="575">
        <v>34</v>
      </c>
      <c r="Y36" s="575" t="s">
        <v>1478</v>
      </c>
      <c r="Z36" s="574" t="s">
        <v>1910</v>
      </c>
      <c r="AE36" s="580">
        <v>11.722</v>
      </c>
    </row>
    <row r="37" spans="1:31" ht="20.100000000000001" customHeight="1">
      <c r="A37" s="1504"/>
      <c r="B37" s="1495" t="s">
        <v>2117</v>
      </c>
      <c r="C37" s="1494"/>
      <c r="D37" s="1494"/>
      <c r="E37" s="1494"/>
      <c r="H37" s="1494"/>
      <c r="I37" s="1495" t="s">
        <v>2109</v>
      </c>
      <c r="J37" s="1494"/>
      <c r="K37" s="655"/>
      <c r="X37" s="575">
        <v>35</v>
      </c>
      <c r="Y37" s="575" t="s">
        <v>1479</v>
      </c>
      <c r="Z37" s="574" t="s">
        <v>1911</v>
      </c>
      <c r="AE37" s="580">
        <v>11.763999999999999</v>
      </c>
    </row>
    <row r="38" spans="1:31" ht="20.100000000000001" customHeight="1">
      <c r="A38" s="652"/>
      <c r="B38" s="1486"/>
      <c r="C38" s="1485"/>
      <c r="D38" s="1485"/>
      <c r="E38" s="1485"/>
      <c r="H38" s="1498"/>
      <c r="I38" s="1494" t="s">
        <v>2110</v>
      </c>
      <c r="J38" s="1498"/>
      <c r="K38" s="655"/>
      <c r="X38" s="575">
        <v>36</v>
      </c>
      <c r="Y38" s="575" t="s">
        <v>1480</v>
      </c>
      <c r="Z38" s="574" t="s">
        <v>1912</v>
      </c>
      <c r="AE38" s="580">
        <v>12.215999999999999</v>
      </c>
    </row>
    <row r="39" spans="1:31" ht="20.100000000000001" customHeight="1">
      <c r="A39" s="652"/>
      <c r="B39" s="1487"/>
      <c r="C39" s="1487"/>
      <c r="D39" s="1487"/>
      <c r="E39" s="1491"/>
      <c r="H39" s="1499"/>
      <c r="I39" s="1496" t="s">
        <v>2105</v>
      </c>
      <c r="J39" s="1499"/>
      <c r="K39" s="655"/>
      <c r="X39" s="575">
        <v>37</v>
      </c>
      <c r="Y39" s="575" t="s">
        <v>1481</v>
      </c>
      <c r="Z39" s="574" t="s">
        <v>1913</v>
      </c>
      <c r="AE39" s="580">
        <v>12.659000000000001</v>
      </c>
    </row>
    <row r="40" spans="1:31" ht="20.100000000000001" customHeight="1">
      <c r="A40" s="652"/>
      <c r="B40" s="1488"/>
      <c r="C40" s="1488"/>
      <c r="D40" s="1488"/>
      <c r="E40" s="1488"/>
      <c r="H40" s="1499"/>
      <c r="I40" s="1497"/>
      <c r="J40" s="1499"/>
      <c r="K40" s="655"/>
      <c r="X40" s="575">
        <v>38</v>
      </c>
      <c r="Y40" s="575" t="s">
        <v>1482</v>
      </c>
      <c r="Z40" s="574" t="s">
        <v>1914</v>
      </c>
      <c r="AE40" s="580">
        <v>16.574000000000002</v>
      </c>
    </row>
    <row r="41" spans="1:31" ht="20.100000000000001" customHeight="1">
      <c r="A41" s="652"/>
      <c r="B41" s="1489"/>
      <c r="C41" s="1489"/>
      <c r="D41" s="1489"/>
      <c r="E41" s="1489"/>
      <c r="H41" s="1499"/>
      <c r="I41" s="1497" t="s">
        <v>2106</v>
      </c>
      <c r="J41" s="1499"/>
      <c r="K41" s="655"/>
      <c r="X41" s="575">
        <v>39</v>
      </c>
      <c r="Y41" s="575" t="s">
        <v>1483</v>
      </c>
      <c r="Z41" s="574" t="s">
        <v>1915</v>
      </c>
      <c r="AE41" s="580">
        <v>16.876000000000001</v>
      </c>
    </row>
    <row r="42" spans="1:31" ht="20.100000000000001" customHeight="1">
      <c r="A42" s="652"/>
      <c r="B42" s="1489"/>
      <c r="C42" s="1489"/>
      <c r="D42" s="1489"/>
      <c r="E42" s="1489"/>
      <c r="H42" s="1499"/>
      <c r="I42" s="1497" t="s">
        <v>2107</v>
      </c>
      <c r="J42" s="1499"/>
      <c r="K42" s="655"/>
      <c r="O42" s="574" t="s">
        <v>1821</v>
      </c>
      <c r="X42" s="575">
        <v>40</v>
      </c>
      <c r="Y42" s="575" t="s">
        <v>1484</v>
      </c>
      <c r="Z42" s="574" t="s">
        <v>1916</v>
      </c>
      <c r="AE42" s="580">
        <v>4.5</v>
      </c>
    </row>
    <row r="43" spans="1:31" ht="20.100000000000001" customHeight="1">
      <c r="A43" s="657"/>
      <c r="B43" s="1489"/>
      <c r="C43" s="1489"/>
      <c r="D43" s="1489"/>
      <c r="E43" s="1489"/>
      <c r="H43" s="1499"/>
      <c r="I43" s="1497" t="s">
        <v>2108</v>
      </c>
      <c r="J43" s="1499"/>
      <c r="K43" s="657"/>
      <c r="X43" s="575">
        <v>41</v>
      </c>
      <c r="Y43" s="575" t="s">
        <v>1485</v>
      </c>
      <c r="Z43" s="574" t="s">
        <v>1917</v>
      </c>
      <c r="AE43" s="580">
        <v>14.404999999999999</v>
      </c>
    </row>
    <row r="44" spans="1:31" ht="20.100000000000001" customHeight="1">
      <c r="E44" s="654"/>
      <c r="F44" s="654"/>
      <c r="G44" s="578"/>
      <c r="H44" s="578"/>
      <c r="I44" s="578"/>
      <c r="J44" s="653"/>
      <c r="X44" s="575">
        <v>42</v>
      </c>
      <c r="Y44" s="575" t="s">
        <v>1486</v>
      </c>
      <c r="Z44" s="574" t="s">
        <v>1918</v>
      </c>
      <c r="AE44" s="580">
        <v>5.5</v>
      </c>
    </row>
    <row r="45" spans="1:31" ht="20.100000000000001" customHeight="1">
      <c r="E45" s="653"/>
      <c r="F45" s="653"/>
      <c r="G45" s="655"/>
      <c r="H45" s="655"/>
      <c r="I45" s="655"/>
      <c r="J45" s="652"/>
      <c r="X45" s="575">
        <v>43</v>
      </c>
      <c r="Y45" s="575" t="s">
        <v>1487</v>
      </c>
      <c r="Z45" s="574" t="s">
        <v>1919</v>
      </c>
      <c r="AE45" s="580">
        <v>5.0999999999999996</v>
      </c>
    </row>
    <row r="46" spans="1:31" ht="20.100000000000001" customHeight="1">
      <c r="G46" s="1501"/>
      <c r="H46" s="1501"/>
      <c r="I46" s="1501"/>
      <c r="X46" s="575">
        <v>44</v>
      </c>
      <c r="Y46" s="575" t="s">
        <v>1488</v>
      </c>
      <c r="Z46" s="574" t="s">
        <v>1920</v>
      </c>
      <c r="AE46" s="580">
        <v>8.6</v>
      </c>
    </row>
    <row r="47" spans="1:31" ht="20.100000000000001" customHeight="1">
      <c r="X47" s="575">
        <v>45</v>
      </c>
      <c r="Y47" s="575" t="s">
        <v>1489</v>
      </c>
      <c r="Z47" s="574" t="s">
        <v>1921</v>
      </c>
      <c r="AE47" s="580">
        <v>14.507</v>
      </c>
    </row>
    <row r="48" spans="1:31">
      <c r="X48" s="575">
        <v>46</v>
      </c>
      <c r="Y48" s="575" t="s">
        <v>1490</v>
      </c>
      <c r="Z48" s="574" t="s">
        <v>1922</v>
      </c>
      <c r="AE48" s="580">
        <v>14.3</v>
      </c>
    </row>
    <row r="49" spans="24:31">
      <c r="X49" s="575">
        <v>47</v>
      </c>
      <c r="Y49" s="575" t="s">
        <v>1491</v>
      </c>
      <c r="Z49" s="574" t="s">
        <v>1923</v>
      </c>
      <c r="AE49" s="580">
        <v>1.8</v>
      </c>
    </row>
    <row r="50" spans="24:31">
      <c r="X50" s="575">
        <v>48</v>
      </c>
      <c r="Y50" s="575" t="s">
        <v>1492</v>
      </c>
      <c r="Z50" s="574" t="s">
        <v>1493</v>
      </c>
      <c r="AE50" s="580">
        <v>1</v>
      </c>
    </row>
  </sheetData>
  <mergeCells count="2">
    <mergeCell ref="A1:K1"/>
    <mergeCell ref="A31:D31"/>
  </mergeCells>
  <dataValidations disablePrompts="1" count="5">
    <dataValidation type="list" allowBlank="1" showInputMessage="1" showErrorMessage="1" sqref="L10 D7:D8">
      <formula1>ประเภทผิวจราจร</formula1>
    </dataValidation>
    <dataValidation type="list" allowBlank="1" showInputMessage="1" showErrorMessage="1" sqref="G17">
      <formula1>Year</formula1>
    </dataValidation>
    <dataValidation type="list" allowBlank="1" showInputMessage="1" showErrorMessage="1" sqref="E17">
      <formula1>Month</formula1>
    </dataValidation>
    <dataValidation type="list" allowBlank="1" showInputMessage="1" showErrorMessage="1" sqref="C17">
      <formula1>Date</formula1>
    </dataValidation>
    <dataValidation type="list" allowBlank="1" showInputMessage="1" showErrorMessage="1" sqref="C5">
      <formula1>รหัสสายทาง</formula1>
    </dataValidation>
  </dataValidations>
  <printOptions horizontalCentered="1"/>
  <pageMargins left="0.59055118110236227" right="0.19685039370078741" top="0.98425196850393704" bottom="0.19685039370078741" header="0" footer="0"/>
  <pageSetup paperSize="9" scale="80" orientation="portrait" blackAndWhite="1" horizontalDpi="4294967294" r:id="rId1"/>
  <headerFooter>
    <oddHeader>&amp;Rปร.5 บร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AH177"/>
  <sheetViews>
    <sheetView view="pageBreakPreview" zoomScaleSheetLayoutView="100" workbookViewId="0">
      <selection activeCell="D7" sqref="D7"/>
    </sheetView>
  </sheetViews>
  <sheetFormatPr defaultColWidth="9" defaultRowHeight="21.75"/>
  <cols>
    <col min="1" max="1" width="4.75" style="574" customWidth="1"/>
    <col min="2" max="2" width="5.125" style="574" customWidth="1"/>
    <col min="3" max="3" width="5.75" style="574" customWidth="1"/>
    <col min="4" max="4" width="9.25" style="574" customWidth="1"/>
    <col min="5" max="5" width="10.75" style="574" customWidth="1"/>
    <col min="6" max="6" width="6.875" style="574" customWidth="1"/>
    <col min="7" max="7" width="10.75" style="574" customWidth="1"/>
    <col min="8" max="8" width="3.625" style="574" customWidth="1"/>
    <col min="9" max="9" width="5" style="574" customWidth="1"/>
    <col min="10" max="10" width="6.375" style="574" customWidth="1"/>
    <col min="11" max="11" width="8.375" style="575" customWidth="1"/>
    <col min="12" max="12" width="9.5" style="668" customWidth="1"/>
    <col min="13" max="13" width="10.625" style="668" customWidth="1"/>
    <col min="14" max="14" width="6.5" style="669" customWidth="1"/>
    <col min="15" max="15" width="9.75" style="574" customWidth="1"/>
    <col min="16" max="16" width="10" style="574" customWidth="1"/>
    <col min="17" max="17" width="5.75" style="574" customWidth="1"/>
    <col min="18" max="18" width="10.75" style="574" customWidth="1"/>
    <col min="19" max="19" width="9" style="574"/>
    <col min="20" max="20" width="15.75" style="574" customWidth="1"/>
    <col min="21" max="21" width="9" style="574"/>
    <col min="22" max="23" width="10.625" style="574" customWidth="1"/>
    <col min="24" max="24" width="9" style="574" customWidth="1"/>
    <col min="25" max="16384" width="9" style="574"/>
  </cols>
  <sheetData>
    <row r="1" spans="1:34">
      <c r="A1" s="1539" t="s">
        <v>433</v>
      </c>
      <c r="B1" s="1539"/>
      <c r="C1" s="1539"/>
      <c r="D1" s="1539"/>
      <c r="E1" s="1539"/>
      <c r="F1" s="1539"/>
      <c r="G1" s="1539"/>
      <c r="H1" s="1539"/>
      <c r="I1" s="1539"/>
      <c r="J1" s="1539"/>
      <c r="K1" s="1539"/>
      <c r="L1" s="1539"/>
      <c r="M1" s="1539"/>
      <c r="N1" s="1539"/>
      <c r="O1" s="1539"/>
      <c r="P1" s="1539"/>
      <c r="Q1" s="1539"/>
      <c r="R1" s="665"/>
      <c r="S1" s="666"/>
      <c r="T1" s="666"/>
      <c r="U1" s="666"/>
      <c r="V1" s="666"/>
      <c r="W1" s="666"/>
      <c r="X1" s="666"/>
      <c r="Y1" s="666"/>
      <c r="Z1" s="666"/>
      <c r="AA1" s="666"/>
      <c r="AB1" s="666"/>
      <c r="AC1" s="666"/>
    </row>
    <row r="2" spans="1:34">
      <c r="A2" s="667" t="s">
        <v>14</v>
      </c>
      <c r="C2" s="667" t="s">
        <v>2111</v>
      </c>
      <c r="S2" s="670" t="s">
        <v>1314</v>
      </c>
      <c r="T2" s="671">
        <f>Soil!B1-V2</f>
        <v>0.84</v>
      </c>
      <c r="U2" s="672" t="s">
        <v>181</v>
      </c>
    </row>
    <row r="3" spans="1:34">
      <c r="A3" s="1447" t="s">
        <v>1234</v>
      </c>
      <c r="C3" s="667" t="str">
        <f>'ปร.5 ท'!C6</f>
        <v>ตำบลควนขนุน อำเภอควนขนุน  จังหวัดพัทลุง</v>
      </c>
      <c r="S3" s="670" t="s">
        <v>1327</v>
      </c>
      <c r="T3" s="673">
        <f>I5+(2*I6)</f>
        <v>5</v>
      </c>
      <c r="U3" s="672" t="s">
        <v>744</v>
      </c>
    </row>
    <row r="4" spans="1:34">
      <c r="A4" s="667" t="str">
        <f>'ปร.5 ท'!A13</f>
        <v>ระยะทางดำเนินการ</v>
      </c>
      <c r="D4" s="674">
        <f>T2</f>
        <v>0.84</v>
      </c>
      <c r="E4" s="675" t="s">
        <v>181</v>
      </c>
      <c r="F4" s="674"/>
      <c r="H4" s="675"/>
      <c r="I4" s="675"/>
      <c r="S4" s="670" t="s">
        <v>1344</v>
      </c>
      <c r="T4" s="673">
        <v>0</v>
      </c>
      <c r="U4" s="672" t="s">
        <v>1345</v>
      </c>
      <c r="V4" s="673">
        <v>0</v>
      </c>
      <c r="W4" s="672" t="s">
        <v>1346</v>
      </c>
      <c r="X4" s="676">
        <v>0</v>
      </c>
      <c r="Y4" s="672" t="s">
        <v>1383</v>
      </c>
      <c r="Z4" s="673">
        <f>ROUNDDOWN(T4*V4*X4,2)</f>
        <v>0</v>
      </c>
      <c r="AA4" s="574" t="s">
        <v>7</v>
      </c>
    </row>
    <row r="5" spans="1:34">
      <c r="A5" s="677" t="s">
        <v>2086</v>
      </c>
      <c r="C5" s="595"/>
      <c r="D5" s="678">
        <v>0</v>
      </c>
      <c r="E5" s="678"/>
      <c r="F5" s="678"/>
      <c r="H5" s="679" t="s">
        <v>16</v>
      </c>
      <c r="I5" s="680">
        <f>'ปร.5 ท'!H7</f>
        <v>5</v>
      </c>
      <c r="J5" s="681" t="s">
        <v>17</v>
      </c>
      <c r="S5" s="595" t="s">
        <v>1335</v>
      </c>
      <c r="T5" s="673">
        <v>0</v>
      </c>
      <c r="U5" s="672" t="s">
        <v>1336</v>
      </c>
      <c r="V5" s="673">
        <v>0</v>
      </c>
      <c r="W5" s="672" t="s">
        <v>1337</v>
      </c>
      <c r="X5" s="673">
        <v>0</v>
      </c>
      <c r="Y5" s="672" t="s">
        <v>1346</v>
      </c>
      <c r="Z5" s="676">
        <v>0</v>
      </c>
      <c r="AA5" s="672" t="s">
        <v>699</v>
      </c>
    </row>
    <row r="6" spans="1:34">
      <c r="A6" s="682" t="s">
        <v>1649</v>
      </c>
      <c r="C6" s="574" t="str">
        <f>'ปร.5 ท'!F14</f>
        <v xml:space="preserve">(ซ่อมแซมผิวทางแบบเซอร์เฟซทรีตเมนต์ชั้นเดียว S.S.T. ) ระยะทาง 0.000 กม.) </v>
      </c>
      <c r="D6" s="678">
        <v>0</v>
      </c>
      <c r="E6" s="678"/>
      <c r="F6" s="678"/>
      <c r="H6" s="679" t="s">
        <v>18</v>
      </c>
      <c r="I6" s="680">
        <f>'ปร.5 ท'!H8</f>
        <v>0</v>
      </c>
      <c r="J6" s="681" t="s">
        <v>17</v>
      </c>
      <c r="W6" s="683" t="s">
        <v>1347</v>
      </c>
      <c r="X6" s="673">
        <f>X5*Z5</f>
        <v>0</v>
      </c>
      <c r="Y6" s="672" t="s">
        <v>744</v>
      </c>
    </row>
    <row r="7" spans="1:34">
      <c r="A7" s="684" t="s">
        <v>19</v>
      </c>
      <c r="C7" s="685"/>
      <c r="D7" s="686" t="str">
        <f>'ปร.5 ท'!C17&amp;"  "&amp;'ปร.5 ท'!E17&amp;"  "&amp;'ปร.5 ท'!F17&amp;" "&amp;'ปร.5 ท'!G17</f>
        <v>30  มิถุนายน  พ.ศ. 2563</v>
      </c>
      <c r="E7" s="686"/>
      <c r="F7" s="686"/>
      <c r="G7" s="686"/>
      <c r="H7" s="686"/>
      <c r="I7" s="686"/>
      <c r="K7" s="687"/>
      <c r="W7" s="683" t="s">
        <v>1384</v>
      </c>
      <c r="X7" s="673">
        <f>ROUNDDOWN(0.5*(T5+V5)*X5,2)*Z5</f>
        <v>0</v>
      </c>
      <c r="Y7" s="672" t="s">
        <v>7</v>
      </c>
    </row>
    <row r="8" spans="1:34">
      <c r="A8" s="1540" t="s">
        <v>20</v>
      </c>
      <c r="B8" s="1532" t="s">
        <v>1</v>
      </c>
      <c r="C8" s="1533"/>
      <c r="D8" s="1533"/>
      <c r="E8" s="1533"/>
      <c r="F8" s="1534"/>
      <c r="G8" s="1533"/>
      <c r="H8" s="1533"/>
      <c r="I8" s="1535"/>
      <c r="J8" s="1542" t="s">
        <v>2</v>
      </c>
      <c r="K8" s="1544" t="s">
        <v>21</v>
      </c>
      <c r="L8" s="1546" t="s">
        <v>22</v>
      </c>
      <c r="M8" s="1544"/>
      <c r="N8" s="689" t="s">
        <v>357</v>
      </c>
      <c r="O8" s="1531" t="s">
        <v>24</v>
      </c>
      <c r="P8" s="1531"/>
      <c r="Q8" s="688" t="s">
        <v>1877</v>
      </c>
      <c r="R8" s="690"/>
      <c r="S8" s="595" t="s">
        <v>1648</v>
      </c>
      <c r="T8" s="595" t="s">
        <v>1966</v>
      </c>
      <c r="V8" s="603"/>
      <c r="W8" s="603"/>
      <c r="X8" s="603"/>
      <c r="Y8" s="691"/>
      <c r="Z8" s="691"/>
      <c r="AA8" s="691"/>
      <c r="AB8" s="691"/>
      <c r="AC8" s="691"/>
      <c r="AD8" s="691"/>
      <c r="AE8" s="691"/>
      <c r="AF8" s="691"/>
      <c r="AG8" s="672"/>
      <c r="AH8" s="603"/>
    </row>
    <row r="9" spans="1:34">
      <c r="A9" s="1541"/>
      <c r="B9" s="1536"/>
      <c r="C9" s="1537"/>
      <c r="D9" s="1537"/>
      <c r="E9" s="1537"/>
      <c r="F9" s="1537"/>
      <c r="G9" s="1537"/>
      <c r="H9" s="1537"/>
      <c r="I9" s="1538"/>
      <c r="J9" s="1543"/>
      <c r="K9" s="1545"/>
      <c r="L9" s="692" t="s">
        <v>25</v>
      </c>
      <c r="M9" s="692" t="s">
        <v>26</v>
      </c>
      <c r="N9" s="693" t="s">
        <v>1795</v>
      </c>
      <c r="O9" s="694" t="s">
        <v>25</v>
      </c>
      <c r="P9" s="694" t="s">
        <v>26</v>
      </c>
      <c r="Q9" s="1348" t="s">
        <v>1878</v>
      </c>
      <c r="R9" s="690"/>
      <c r="S9" s="574" t="s">
        <v>1965</v>
      </c>
      <c r="T9" s="595" t="s">
        <v>1967</v>
      </c>
      <c r="V9" s="603"/>
      <c r="W9" s="672"/>
      <c r="X9" s="603"/>
      <c r="Y9" s="691"/>
      <c r="Z9" s="691"/>
      <c r="AA9" s="691"/>
      <c r="AB9" s="691"/>
      <c r="AC9" s="691"/>
      <c r="AD9" s="691"/>
      <c r="AE9" s="691"/>
      <c r="AF9" s="691"/>
      <c r="AG9" s="672"/>
      <c r="AH9" s="603"/>
    </row>
    <row r="10" spans="1:34" ht="24">
      <c r="A10" s="695"/>
      <c r="B10" s="696" t="s">
        <v>423</v>
      </c>
      <c r="C10" s="697"/>
      <c r="D10" s="697"/>
      <c r="E10" s="697"/>
      <c r="F10" s="1443"/>
      <c r="G10" s="697"/>
      <c r="H10" s="697"/>
      <c r="I10" s="698"/>
      <c r="J10" s="1479"/>
      <c r="K10" s="700"/>
      <c r="L10" s="701"/>
      <c r="M10" s="702"/>
      <c r="N10" s="703"/>
      <c r="O10" s="704"/>
      <c r="P10" s="704"/>
      <c r="Q10" s="705"/>
      <c r="R10" s="690"/>
      <c r="S10" s="706"/>
      <c r="T10" s="603"/>
      <c r="U10" s="672"/>
      <c r="V10" s="603"/>
      <c r="W10" s="603"/>
      <c r="X10" s="603"/>
      <c r="Y10" s="691"/>
      <c r="Z10" s="691"/>
      <c r="AA10" s="691"/>
      <c r="AB10" s="691"/>
      <c r="AC10" s="691"/>
      <c r="AD10" s="691"/>
      <c r="AE10" s="691"/>
      <c r="AF10" s="691"/>
      <c r="AG10" s="672"/>
      <c r="AH10" s="603"/>
    </row>
    <row r="11" spans="1:34">
      <c r="A11" s="707">
        <v>1</v>
      </c>
      <c r="B11" s="708" t="s">
        <v>1526</v>
      </c>
      <c r="C11" s="709"/>
      <c r="D11" s="709"/>
      <c r="E11" s="709"/>
      <c r="F11" s="709"/>
      <c r="G11" s="709"/>
      <c r="H11" s="709"/>
      <c r="I11" s="710"/>
      <c r="J11" s="707"/>
      <c r="K11" s="711"/>
      <c r="L11" s="712"/>
      <c r="M11" s="712"/>
      <c r="N11" s="713"/>
      <c r="O11" s="714"/>
      <c r="P11" s="714"/>
      <c r="Q11" s="714"/>
      <c r="T11" s="603"/>
      <c r="U11" s="672"/>
      <c r="V11" s="603"/>
      <c r="W11" s="603"/>
      <c r="X11" s="603"/>
      <c r="Y11" s="691"/>
      <c r="Z11" s="691"/>
      <c r="AA11" s="691"/>
      <c r="AB11" s="691"/>
      <c r="AC11" s="691"/>
      <c r="AD11" s="691"/>
      <c r="AE11" s="691"/>
      <c r="AF11" s="691"/>
      <c r="AG11" s="672"/>
      <c r="AH11" s="603"/>
    </row>
    <row r="12" spans="1:34" hidden="1">
      <c r="A12" s="707"/>
      <c r="B12" s="715">
        <v>1.1000000000000001</v>
      </c>
      <c r="C12" s="716" t="s">
        <v>56</v>
      </c>
      <c r="D12" s="709"/>
      <c r="E12" s="709"/>
      <c r="F12" s="709"/>
      <c r="G12" s="709"/>
      <c r="H12" s="709"/>
      <c r="I12" s="710"/>
      <c r="J12" s="717" t="s">
        <v>7</v>
      </c>
      <c r="K12" s="718">
        <f>T12</f>
        <v>0</v>
      </c>
      <c r="L12" s="718">
        <f>IF(K12=0,0,ราคาต้นทุนงานทาง!G11)</f>
        <v>0</v>
      </c>
      <c r="M12" s="718">
        <f>ROUNDDOWN(K12*L12,2)</f>
        <v>0</v>
      </c>
      <c r="N12" s="719">
        <f t="shared" ref="N12:N27" si="0">IF(K12=0,0,$N$172)</f>
        <v>0</v>
      </c>
      <c r="O12" s="718">
        <f>ROUNDDOWN(L12*N12,2)</f>
        <v>0</v>
      </c>
      <c r="P12" s="718">
        <f>ROUNDDOWN(K12*O12,2)</f>
        <v>0</v>
      </c>
      <c r="Q12" s="718"/>
      <c r="R12" s="574" t="s">
        <v>1315</v>
      </c>
      <c r="S12" s="720"/>
      <c r="T12" s="720">
        <f>ROUNDDOWN(Soil!R210,0)*0</f>
        <v>0</v>
      </c>
      <c r="U12" s="672" t="s">
        <v>7</v>
      </c>
      <c r="V12" s="595" t="s">
        <v>1318</v>
      </c>
      <c r="W12" s="721">
        <v>2</v>
      </c>
      <c r="X12" s="603" t="s">
        <v>1319</v>
      </c>
      <c r="Y12" s="691"/>
      <c r="Z12" s="691"/>
      <c r="AA12" s="691"/>
      <c r="AB12" s="691"/>
      <c r="AC12" s="691"/>
      <c r="AD12" s="691"/>
      <c r="AE12" s="691"/>
      <c r="AF12" s="691"/>
      <c r="AG12" s="672"/>
      <c r="AH12" s="603"/>
    </row>
    <row r="13" spans="1:34" ht="24">
      <c r="A13" s="707"/>
      <c r="B13" s="715">
        <v>1.1000000000000001</v>
      </c>
      <c r="C13" s="716" t="s">
        <v>2095</v>
      </c>
      <c r="D13" s="722"/>
      <c r="E13" s="722"/>
      <c r="F13" s="722"/>
      <c r="G13" s="722"/>
      <c r="J13" s="717" t="s">
        <v>7</v>
      </c>
      <c r="K13" s="718">
        <f>T13</f>
        <v>4200</v>
      </c>
      <c r="L13" s="718">
        <f>IF(K13=0,0,ราคาต้นทุนงานทาง!I31)+ราคาต้นทุนงานทาง!J35</f>
        <v>24.7256</v>
      </c>
      <c r="M13" s="718">
        <f>ROUNDDOWN(K13*L13,2)</f>
        <v>103847.52</v>
      </c>
      <c r="N13" s="719">
        <f t="shared" si="0"/>
        <v>1.3794999999999999</v>
      </c>
      <c r="O13" s="718">
        <f>ROUNDDOWN(L13*N13,2)</f>
        <v>34.1</v>
      </c>
      <c r="P13" s="718">
        <f t="shared" ref="P13:P27" si="1">ROUNDDOWN(K13*O13,2)</f>
        <v>143220</v>
      </c>
      <c r="Q13" s="718"/>
      <c r="R13" s="574" t="s">
        <v>1632</v>
      </c>
      <c r="T13" s="720">
        <f>ROUNDDOWN(Soil!S210+((0.5)*(Z13-V5)*(X6)),0)-(V2*T3*1000)</f>
        <v>4200</v>
      </c>
      <c r="U13" s="672" t="s">
        <v>7</v>
      </c>
      <c r="V13" s="595" t="s">
        <v>493</v>
      </c>
      <c r="W13" s="593">
        <v>0</v>
      </c>
      <c r="X13" s="709" t="s">
        <v>585</v>
      </c>
      <c r="Y13" s="683" t="s">
        <v>1320</v>
      </c>
      <c r="Z13" s="721">
        <v>5</v>
      </c>
      <c r="AA13" s="574" t="s">
        <v>1319</v>
      </c>
      <c r="AB13" s="691"/>
      <c r="AC13" s="691"/>
      <c r="AD13" s="691"/>
      <c r="AE13" s="691"/>
      <c r="AF13" s="691"/>
      <c r="AG13" s="672"/>
      <c r="AH13" s="603"/>
    </row>
    <row r="14" spans="1:34" hidden="1">
      <c r="A14" s="707"/>
      <c r="B14" s="715">
        <v>1.3</v>
      </c>
      <c r="C14" s="716" t="s">
        <v>1527</v>
      </c>
      <c r="D14" s="723"/>
      <c r="E14" s="723"/>
      <c r="F14" s="723"/>
      <c r="G14" s="723"/>
      <c r="H14" s="723"/>
      <c r="I14" s="724"/>
      <c r="J14" s="717" t="s">
        <v>7</v>
      </c>
      <c r="K14" s="718">
        <f>T14</f>
        <v>0</v>
      </c>
      <c r="L14" s="718">
        <f>IF(K14=0,0,ราคาต้นทุนงานทาง!J35)</f>
        <v>0</v>
      </c>
      <c r="M14" s="718">
        <f>K14*L14</f>
        <v>0</v>
      </c>
      <c r="N14" s="719">
        <f t="shared" si="0"/>
        <v>0</v>
      </c>
      <c r="O14" s="718">
        <f>ROUND(L14*N14,2)</f>
        <v>0</v>
      </c>
      <c r="P14" s="718">
        <f t="shared" si="1"/>
        <v>0</v>
      </c>
      <c r="Q14" s="718"/>
      <c r="R14" s="574" t="s">
        <v>1317</v>
      </c>
      <c r="S14" s="720"/>
      <c r="T14" s="720">
        <f>ROUNDDOWN(Soil!S210+((0.5)*(Z14-V6)*(X7)),0)*0</f>
        <v>0</v>
      </c>
      <c r="U14" s="672" t="s">
        <v>7</v>
      </c>
      <c r="Y14" s="691"/>
      <c r="Z14" s="691"/>
      <c r="AA14" s="691"/>
      <c r="AB14" s="691"/>
      <c r="AC14" s="691"/>
      <c r="AD14" s="691"/>
      <c r="AE14" s="691"/>
      <c r="AF14" s="691"/>
      <c r="AG14" s="672"/>
      <c r="AH14" s="603"/>
    </row>
    <row r="15" spans="1:34" ht="24" hidden="1">
      <c r="A15" s="707"/>
      <c r="B15" s="715">
        <v>1.4</v>
      </c>
      <c r="C15" s="716" t="s">
        <v>77</v>
      </c>
      <c r="D15" s="725"/>
      <c r="E15" s="725"/>
      <c r="F15" s="725"/>
      <c r="G15" s="725"/>
      <c r="H15" s="725"/>
      <c r="I15" s="726"/>
      <c r="J15" s="717" t="s">
        <v>6</v>
      </c>
      <c r="K15" s="718">
        <v>0</v>
      </c>
      <c r="L15" s="718">
        <f>IF(K15=0,0,ราคาต้นทุนงานทาง!I40)</f>
        <v>0</v>
      </c>
      <c r="M15" s="718">
        <f>K15*L15</f>
        <v>0</v>
      </c>
      <c r="N15" s="719">
        <f t="shared" si="0"/>
        <v>0</v>
      </c>
      <c r="O15" s="718">
        <f>ROUND(L15*N15,2)</f>
        <v>0</v>
      </c>
      <c r="P15" s="718">
        <f t="shared" si="1"/>
        <v>0</v>
      </c>
      <c r="Q15" s="718"/>
      <c r="T15" s="603"/>
      <c r="U15" s="672"/>
      <c r="V15" s="603"/>
      <c r="W15" s="603"/>
      <c r="X15" s="603"/>
      <c r="Y15" s="691"/>
      <c r="Z15" s="691"/>
      <c r="AA15" s="691"/>
      <c r="AB15" s="691"/>
      <c r="AC15" s="691"/>
      <c r="AD15" s="691"/>
      <c r="AE15" s="691"/>
      <c r="AF15" s="691"/>
      <c r="AG15" s="672"/>
      <c r="AH15" s="603"/>
    </row>
    <row r="16" spans="1:34" hidden="1">
      <c r="A16" s="707"/>
      <c r="B16" s="715">
        <v>1.5</v>
      </c>
      <c r="C16" s="716" t="s">
        <v>197</v>
      </c>
      <c r="D16" s="723"/>
      <c r="E16" s="723"/>
      <c r="F16" s="723"/>
      <c r="G16" s="723"/>
      <c r="H16" s="723"/>
      <c r="I16" s="724"/>
      <c r="J16" s="717" t="s">
        <v>6</v>
      </c>
      <c r="K16" s="718">
        <f>T16</f>
        <v>0</v>
      </c>
      <c r="L16" s="718">
        <f>IF(K16=0,0,ราคาต้นทุนงานทาง!H49)</f>
        <v>0</v>
      </c>
      <c r="M16" s="718">
        <f>ROUNDDOWN(K16*L16,2)</f>
        <v>0</v>
      </c>
      <c r="N16" s="719">
        <f t="shared" si="0"/>
        <v>0</v>
      </c>
      <c r="O16" s="718">
        <f>ROUNDDOWN(L16*N16,2)</f>
        <v>0</v>
      </c>
      <c r="P16" s="718">
        <f t="shared" si="1"/>
        <v>0</v>
      </c>
      <c r="Q16" s="718"/>
      <c r="R16" s="574" t="s">
        <v>1321</v>
      </c>
      <c r="T16" s="720">
        <f>Soil!H213</f>
        <v>0</v>
      </c>
      <c r="U16" s="672" t="s">
        <v>6</v>
      </c>
      <c r="V16" s="603"/>
      <c r="W16" s="603"/>
      <c r="X16" s="603"/>
      <c r="Y16" s="691"/>
      <c r="Z16" s="691"/>
      <c r="AA16" s="691"/>
      <c r="AB16" s="691"/>
      <c r="AC16" s="691"/>
      <c r="AD16" s="691"/>
      <c r="AE16" s="691"/>
      <c r="AF16" s="691"/>
      <c r="AG16" s="672"/>
      <c r="AH16" s="603"/>
    </row>
    <row r="17" spans="1:34" ht="24" hidden="1">
      <c r="A17" s="707"/>
      <c r="B17" s="715">
        <v>1.6</v>
      </c>
      <c r="C17" s="716" t="s">
        <v>1528</v>
      </c>
      <c r="D17" s="725"/>
      <c r="E17" s="725"/>
      <c r="F17" s="725"/>
      <c r="G17" s="725"/>
      <c r="H17" s="725"/>
      <c r="I17" s="726"/>
      <c r="J17" s="717" t="s">
        <v>6</v>
      </c>
      <c r="K17" s="718">
        <f>T17</f>
        <v>0</v>
      </c>
      <c r="L17" s="718">
        <f>IF(K17=0,0,ราคาต้นทุนงานทาง!H57)</f>
        <v>0</v>
      </c>
      <c r="M17" s="718">
        <f>ROUNDDOWN(K17*L17,2)</f>
        <v>0</v>
      </c>
      <c r="N17" s="719">
        <f t="shared" si="0"/>
        <v>0</v>
      </c>
      <c r="O17" s="718">
        <f>ROUNDDOWN(L17*N17,2)</f>
        <v>0</v>
      </c>
      <c r="P17" s="718">
        <f t="shared" si="1"/>
        <v>0</v>
      </c>
      <c r="Q17" s="718"/>
      <c r="R17" s="574" t="s">
        <v>1324</v>
      </c>
      <c r="T17" s="720">
        <f>Soil!H215</f>
        <v>0</v>
      </c>
      <c r="U17" s="672" t="s">
        <v>6</v>
      </c>
      <c r="V17" s="603"/>
      <c r="W17" s="603"/>
      <c r="X17" s="603"/>
      <c r="Y17" s="691"/>
      <c r="Z17" s="691"/>
      <c r="AA17" s="691"/>
      <c r="AB17" s="691"/>
      <c r="AC17" s="691"/>
      <c r="AD17" s="691"/>
      <c r="AE17" s="691"/>
      <c r="AF17" s="691"/>
      <c r="AG17" s="672"/>
      <c r="AH17" s="603"/>
    </row>
    <row r="18" spans="1:34" hidden="1">
      <c r="A18" s="707"/>
      <c r="B18" s="715">
        <v>1.7</v>
      </c>
      <c r="C18" s="716" t="s">
        <v>1529</v>
      </c>
      <c r="D18" s="723"/>
      <c r="E18" s="723"/>
      <c r="F18" s="723"/>
      <c r="G18" s="723"/>
      <c r="H18" s="723"/>
      <c r="I18" s="724"/>
      <c r="J18" s="717" t="s">
        <v>6</v>
      </c>
      <c r="K18" s="718">
        <f>T18</f>
        <v>0</v>
      </c>
      <c r="L18" s="718">
        <f>IF(K18=0,0,ราคาต้นทุนงานทาง!H66)</f>
        <v>0</v>
      </c>
      <c r="M18" s="718">
        <f>K18*L18</f>
        <v>0</v>
      </c>
      <c r="N18" s="719">
        <f t="shared" si="0"/>
        <v>0</v>
      </c>
      <c r="O18" s="718">
        <f>ROUND(L18*N18,2)</f>
        <v>0</v>
      </c>
      <c r="P18" s="718">
        <f t="shared" si="1"/>
        <v>0</v>
      </c>
      <c r="Q18" s="718"/>
      <c r="R18" s="574" t="s">
        <v>1325</v>
      </c>
      <c r="T18" s="720">
        <f>Soil!H216</f>
        <v>0</v>
      </c>
      <c r="U18" s="672" t="s">
        <v>6</v>
      </c>
      <c r="V18" s="603"/>
      <c r="W18" s="603"/>
      <c r="X18" s="603"/>
      <c r="Y18" s="691"/>
      <c r="Z18" s="691"/>
      <c r="AA18" s="691"/>
      <c r="AB18" s="691"/>
      <c r="AC18" s="691"/>
      <c r="AD18" s="691"/>
      <c r="AE18" s="691"/>
      <c r="AF18" s="691"/>
      <c r="AG18" s="672"/>
      <c r="AH18" s="603"/>
    </row>
    <row r="19" spans="1:34" ht="24" hidden="1">
      <c r="A19" s="707"/>
      <c r="B19" s="715">
        <v>1.8</v>
      </c>
      <c r="C19" s="716" t="s">
        <v>222</v>
      </c>
      <c r="D19" s="725"/>
      <c r="E19" s="725"/>
      <c r="F19" s="725"/>
      <c r="G19" s="725"/>
      <c r="H19" s="725"/>
      <c r="I19" s="726"/>
      <c r="J19" s="717" t="s">
        <v>6</v>
      </c>
      <c r="K19" s="718">
        <v>0</v>
      </c>
      <c r="L19" s="718">
        <f>IF(K19=0,0,ราคาต้นทุนงานทาง!H74)</f>
        <v>0</v>
      </c>
      <c r="M19" s="718">
        <f>K19*L19</f>
        <v>0</v>
      </c>
      <c r="N19" s="719">
        <f t="shared" si="0"/>
        <v>0</v>
      </c>
      <c r="O19" s="718">
        <f>ROUND(L19*N19,2)</f>
        <v>0</v>
      </c>
      <c r="P19" s="718">
        <f t="shared" si="1"/>
        <v>0</v>
      </c>
      <c r="Q19" s="718"/>
      <c r="T19" s="603"/>
      <c r="U19" s="672"/>
      <c r="V19" s="603"/>
      <c r="W19" s="603"/>
      <c r="X19" s="603"/>
      <c r="Y19" s="691"/>
      <c r="Z19" s="691"/>
      <c r="AA19" s="691"/>
      <c r="AB19" s="691"/>
      <c r="AC19" s="691"/>
      <c r="AD19" s="691"/>
      <c r="AE19" s="691"/>
      <c r="AF19" s="691"/>
      <c r="AG19" s="672"/>
      <c r="AH19" s="603"/>
    </row>
    <row r="20" spans="1:34" ht="24" hidden="1">
      <c r="A20" s="707"/>
      <c r="B20" s="715">
        <v>1.9</v>
      </c>
      <c r="C20" s="716" t="s">
        <v>1530</v>
      </c>
      <c r="D20" s="725"/>
      <c r="E20" s="725"/>
      <c r="F20" s="725"/>
      <c r="G20" s="725"/>
      <c r="H20" s="725"/>
      <c r="I20" s="726"/>
      <c r="J20" s="717" t="s">
        <v>6</v>
      </c>
      <c r="K20" s="718">
        <v>0</v>
      </c>
      <c r="L20" s="718">
        <f>IF(K20=0,0,ราคาต้นทุนงานทาง!H91)</f>
        <v>0</v>
      </c>
      <c r="M20" s="718">
        <f>K20*L20</f>
        <v>0</v>
      </c>
      <c r="N20" s="719">
        <f t="shared" si="0"/>
        <v>0</v>
      </c>
      <c r="O20" s="718">
        <f>ROUND(L20*N20,2)</f>
        <v>0</v>
      </c>
      <c r="P20" s="718">
        <f t="shared" si="1"/>
        <v>0</v>
      </c>
      <c r="Q20" s="718"/>
      <c r="T20" s="603"/>
      <c r="U20" s="672"/>
      <c r="V20" s="1353" t="s">
        <v>1926</v>
      </c>
      <c r="W20" s="738"/>
      <c r="X20" s="740" t="s">
        <v>1400</v>
      </c>
      <c r="Y20" s="603"/>
      <c r="Z20" s="691"/>
      <c r="AA20" s="691"/>
      <c r="AB20" s="691"/>
      <c r="AC20" s="691"/>
      <c r="AD20" s="691"/>
      <c r="AE20" s="691"/>
      <c r="AF20" s="691"/>
      <c r="AG20" s="672"/>
      <c r="AH20" s="603"/>
    </row>
    <row r="21" spans="1:34" ht="24" hidden="1">
      <c r="A21" s="707"/>
      <c r="B21" s="727">
        <v>1.1000000000000001</v>
      </c>
      <c r="C21" s="709" t="s">
        <v>2022</v>
      </c>
      <c r="D21" s="725"/>
      <c r="E21" s="725"/>
      <c r="F21" s="725"/>
      <c r="G21" s="728"/>
      <c r="H21" s="593">
        <v>0</v>
      </c>
      <c r="I21" s="710" t="s">
        <v>1330</v>
      </c>
      <c r="J21" s="717" t="s">
        <v>6</v>
      </c>
      <c r="K21" s="718">
        <f>T21+V21+X21</f>
        <v>0</v>
      </c>
      <c r="L21" s="718">
        <f>IF(K21=0,0,ราคาต้นทุนงานทาง!H100)</f>
        <v>0</v>
      </c>
      <c r="M21" s="718">
        <f>ROUNDDOWN(K21*L21,2)</f>
        <v>0</v>
      </c>
      <c r="N21" s="719">
        <f t="shared" si="0"/>
        <v>0</v>
      </c>
      <c r="O21" s="718">
        <f>ROUNDDOWN(L21*N21,2)</f>
        <v>0</v>
      </c>
      <c r="P21" s="718">
        <f t="shared" si="1"/>
        <v>0</v>
      </c>
      <c r="Q21" s="718"/>
      <c r="R21" s="574" t="s">
        <v>467</v>
      </c>
      <c r="T21" s="720">
        <f>ROUNDDOWN(Soil!U210-(((V4*X4)+(X5*Z5))*Soil!Q9)+((0.5)*(T5+V5)*(X5)*H21/100),0)*0</f>
        <v>0</v>
      </c>
      <c r="U21" s="672" t="s">
        <v>6</v>
      </c>
      <c r="V21" s="720">
        <f>'ทางเชื่อม (AC)'!K26</f>
        <v>0</v>
      </c>
      <c r="W21" s="603" t="s">
        <v>6</v>
      </c>
      <c r="X21" s="720">
        <f>'ทางเชื่อม (AC)'!M26</f>
        <v>0</v>
      </c>
      <c r="Y21" s="603" t="s">
        <v>6</v>
      </c>
      <c r="Z21" s="691"/>
      <c r="AA21" s="691"/>
      <c r="AB21" s="691"/>
      <c r="AC21" s="691"/>
      <c r="AD21" s="691"/>
      <c r="AE21" s="691"/>
      <c r="AF21" s="691"/>
      <c r="AG21" s="672"/>
      <c r="AH21" s="603"/>
    </row>
    <row r="22" spans="1:34">
      <c r="A22" s="707"/>
      <c r="B22" s="1481">
        <v>1.2</v>
      </c>
      <c r="C22" s="709" t="s">
        <v>2113</v>
      </c>
      <c r="D22" s="709"/>
      <c r="E22" s="709"/>
      <c r="F22" s="709"/>
      <c r="G22" s="728" t="s">
        <v>1329</v>
      </c>
      <c r="H22" s="1480">
        <v>15</v>
      </c>
      <c r="I22" s="710" t="s">
        <v>1330</v>
      </c>
      <c r="J22" s="717" t="s">
        <v>6</v>
      </c>
      <c r="K22" s="718">
        <f>SUM(D4*1000)*4*0.15*0.3</f>
        <v>151.19999999999999</v>
      </c>
      <c r="L22" s="718">
        <f>IF(K22=0,0,ราคาต้นทุนงานทาง!H109)</f>
        <v>564.32000000000005</v>
      </c>
      <c r="M22" s="718">
        <f>ROUNDDOWN(K22*L22,2)</f>
        <v>85325.18</v>
      </c>
      <c r="N22" s="719">
        <f t="shared" si="0"/>
        <v>1.3794999999999999</v>
      </c>
      <c r="O22" s="718">
        <f>ROUNDDOWN(L22*N22,2)</f>
        <v>778.47</v>
      </c>
      <c r="P22" s="718">
        <f t="shared" si="1"/>
        <v>117704.66</v>
      </c>
      <c r="Q22" s="718"/>
      <c r="R22" s="574" t="s">
        <v>643</v>
      </c>
      <c r="T22" s="720">
        <f>ROUNDDOWN(Soil!Z210-(((V4*X4)+(X5*Z5))*Soil!Y9)+(0.5*(T5+V5)*(X5)*H22/100),0)*0</f>
        <v>0</v>
      </c>
      <c r="U22" s="672" t="s">
        <v>6</v>
      </c>
      <c r="V22" s="720">
        <f>V38*(H22/100)</f>
        <v>0</v>
      </c>
      <c r="W22" s="603" t="s">
        <v>6</v>
      </c>
      <c r="X22" s="720">
        <f>'ทางเชื่อม (AC)'!M26</f>
        <v>0</v>
      </c>
      <c r="Y22" s="603" t="s">
        <v>6</v>
      </c>
      <c r="Z22" s="691"/>
      <c r="AA22" s="691"/>
      <c r="AB22" s="691"/>
      <c r="AC22" s="691"/>
      <c r="AD22" s="691"/>
      <c r="AE22" s="691"/>
      <c r="AF22" s="691"/>
      <c r="AG22" s="691"/>
      <c r="AH22" s="603"/>
    </row>
    <row r="23" spans="1:34" hidden="1">
      <c r="A23" s="707"/>
      <c r="B23" s="727">
        <v>1.1200000000000001</v>
      </c>
      <c r="C23" s="709" t="s">
        <v>1531</v>
      </c>
      <c r="D23" s="709"/>
      <c r="E23" s="709"/>
      <c r="F23" s="709"/>
      <c r="G23" s="709"/>
      <c r="H23" s="709"/>
      <c r="I23" s="710"/>
      <c r="J23" s="717" t="s">
        <v>6</v>
      </c>
      <c r="K23" s="718">
        <f>T23+V23</f>
        <v>0</v>
      </c>
      <c r="L23" s="718">
        <f>IF(K23=0,0,ราคาต้นทุนงานทาง!H115)</f>
        <v>0</v>
      </c>
      <c r="M23" s="718">
        <f>ROUNDDOWN(K23*L23,2)</f>
        <v>0</v>
      </c>
      <c r="N23" s="719">
        <f t="shared" si="0"/>
        <v>0</v>
      </c>
      <c r="O23" s="718">
        <f>ROUNDDOWN(L23*N23,2)</f>
        <v>0</v>
      </c>
      <c r="P23" s="718">
        <f t="shared" si="1"/>
        <v>0</v>
      </c>
      <c r="Q23" s="718"/>
      <c r="Y23" s="691"/>
      <c r="Z23" s="691"/>
      <c r="AA23" s="691"/>
      <c r="AB23" s="691"/>
      <c r="AC23" s="691"/>
      <c r="AD23" s="691"/>
      <c r="AE23" s="691"/>
      <c r="AF23" s="691"/>
      <c r="AG23" s="672"/>
      <c r="AH23" s="603"/>
    </row>
    <row r="24" spans="1:34" hidden="1">
      <c r="A24" s="707"/>
      <c r="B24" s="727">
        <v>1.1299999999999999</v>
      </c>
      <c r="C24" s="709" t="s">
        <v>1792</v>
      </c>
      <c r="D24" s="709"/>
      <c r="E24" s="709"/>
      <c r="F24" s="709"/>
      <c r="G24" s="709"/>
      <c r="H24" s="593">
        <v>0</v>
      </c>
      <c r="I24" s="710" t="s">
        <v>585</v>
      </c>
      <c r="J24" s="717" t="s">
        <v>6</v>
      </c>
      <c r="K24" s="718">
        <f>T24</f>
        <v>0</v>
      </c>
      <c r="L24" s="718">
        <f>IF(K24=0,0,ราคาต้นทุนงานทาง!H123)</f>
        <v>0</v>
      </c>
      <c r="M24" s="718">
        <f>K24*L24</f>
        <v>0</v>
      </c>
      <c r="N24" s="719">
        <f t="shared" si="0"/>
        <v>0</v>
      </c>
      <c r="O24" s="718">
        <f>ROUND(L24*N24,2)</f>
        <v>0</v>
      </c>
      <c r="P24" s="718">
        <f t="shared" si="1"/>
        <v>0</v>
      </c>
      <c r="Q24" s="718"/>
      <c r="R24" s="574" t="s">
        <v>1326</v>
      </c>
      <c r="T24" s="720">
        <f>IF(D5="Concrete",ROUNDDOWN(((T2*1000)*(H24/100)*T3)+((0.5)*(T5+V5)*(X5)*H24/100),0),0)</f>
        <v>0</v>
      </c>
      <c r="U24" s="672" t="s">
        <v>6</v>
      </c>
      <c r="V24" s="603"/>
      <c r="W24" s="672"/>
      <c r="X24" s="729"/>
      <c r="Y24" s="691"/>
      <c r="Z24" s="691"/>
      <c r="AA24" s="691"/>
      <c r="AB24" s="691"/>
      <c r="AC24" s="691"/>
      <c r="AD24" s="691"/>
      <c r="AE24" s="691"/>
      <c r="AF24" s="691"/>
      <c r="AG24" s="672"/>
      <c r="AH24" s="603"/>
    </row>
    <row r="25" spans="1:34" hidden="1">
      <c r="A25" s="707"/>
      <c r="B25" s="727">
        <v>1.1399999999999999</v>
      </c>
      <c r="C25" s="709" t="s">
        <v>1532</v>
      </c>
      <c r="D25" s="730"/>
      <c r="E25" s="730"/>
      <c r="F25" s="730"/>
      <c r="G25" s="730"/>
      <c r="H25" s="730"/>
      <c r="I25" s="731"/>
      <c r="J25" s="707" t="s">
        <v>7</v>
      </c>
      <c r="K25" s="718">
        <f>T25</f>
        <v>0</v>
      </c>
      <c r="L25" s="718">
        <f>IF(K25=0,0,ราคาต้นทุนงานทาง!J130)</f>
        <v>0</v>
      </c>
      <c r="M25" s="718">
        <f>K25*L25</f>
        <v>0</v>
      </c>
      <c r="N25" s="719">
        <f t="shared" si="0"/>
        <v>0</v>
      </c>
      <c r="O25" s="718">
        <f>ROUND(L25*N25,2)</f>
        <v>0</v>
      </c>
      <c r="P25" s="718">
        <f t="shared" si="1"/>
        <v>0</v>
      </c>
      <c r="Q25" s="718"/>
      <c r="T25" s="574">
        <v>0</v>
      </c>
      <c r="U25" s="767" t="s">
        <v>7</v>
      </c>
      <c r="V25" s="603"/>
      <c r="W25" s="603"/>
      <c r="X25" s="729"/>
      <c r="Y25" s="691"/>
      <c r="Z25" s="691"/>
      <c r="AA25" s="691"/>
      <c r="AB25" s="691"/>
      <c r="AC25" s="691"/>
      <c r="AD25" s="691"/>
      <c r="AE25" s="691"/>
      <c r="AF25" s="691"/>
      <c r="AG25" s="672"/>
      <c r="AH25" s="603"/>
    </row>
    <row r="26" spans="1:34" hidden="1">
      <c r="A26" s="707"/>
      <c r="B26" s="727">
        <v>1.1499999999999999</v>
      </c>
      <c r="C26" s="709" t="s">
        <v>1533</v>
      </c>
      <c r="D26" s="730"/>
      <c r="E26" s="730"/>
      <c r="F26" s="730"/>
      <c r="G26" s="730"/>
      <c r="H26" s="730"/>
      <c r="I26" s="731"/>
      <c r="J26" s="707" t="s">
        <v>7</v>
      </c>
      <c r="K26" s="718">
        <v>0</v>
      </c>
      <c r="L26" s="718">
        <f>IF(K26=0,0,ราคาต้นทุนงานทาง!M140)</f>
        <v>0</v>
      </c>
      <c r="M26" s="718">
        <f>K26*L26</f>
        <v>0</v>
      </c>
      <c r="N26" s="719">
        <f t="shared" si="0"/>
        <v>0</v>
      </c>
      <c r="O26" s="718">
        <f>ROUND(L26*N26,2)</f>
        <v>0</v>
      </c>
      <c r="P26" s="718">
        <f t="shared" si="1"/>
        <v>0</v>
      </c>
      <c r="Q26" s="718"/>
      <c r="T26" s="603">
        <v>0</v>
      </c>
      <c r="U26" s="767" t="s">
        <v>7</v>
      </c>
      <c r="V26" s="603"/>
      <c r="W26" s="603"/>
      <c r="X26" s="729"/>
      <c r="Y26" s="691"/>
      <c r="Z26" s="691"/>
      <c r="AA26" s="691"/>
      <c r="AB26" s="691"/>
      <c r="AC26" s="691"/>
      <c r="AD26" s="691"/>
      <c r="AE26" s="691"/>
      <c r="AF26" s="691"/>
      <c r="AG26" s="672"/>
      <c r="AH26" s="603"/>
    </row>
    <row r="27" spans="1:34" hidden="1">
      <c r="A27" s="707"/>
      <c r="B27" s="727">
        <v>1.1599999999999999</v>
      </c>
      <c r="C27" s="709" t="s">
        <v>644</v>
      </c>
      <c r="D27" s="730"/>
      <c r="E27" s="730"/>
      <c r="F27" s="730"/>
      <c r="G27" s="730"/>
      <c r="H27" s="730"/>
      <c r="I27" s="731"/>
      <c r="J27" s="707" t="s">
        <v>7</v>
      </c>
      <c r="K27" s="718">
        <v>0</v>
      </c>
      <c r="L27" s="718">
        <f>IF(K27=0,0,ราคาต้นทุนงานทาง!J159)</f>
        <v>0</v>
      </c>
      <c r="M27" s="718">
        <f>K27*L27</f>
        <v>0</v>
      </c>
      <c r="N27" s="719">
        <f t="shared" si="0"/>
        <v>0</v>
      </c>
      <c r="O27" s="718">
        <f>ROUND(L27*N27,2)</f>
        <v>0</v>
      </c>
      <c r="P27" s="718">
        <f t="shared" si="1"/>
        <v>0</v>
      </c>
      <c r="Q27" s="718"/>
      <c r="T27" s="603"/>
      <c r="U27" s="672"/>
      <c r="V27" s="603"/>
      <c r="W27" s="603"/>
      <c r="X27" s="729"/>
      <c r="Y27" s="691"/>
      <c r="Z27" s="691"/>
      <c r="AA27" s="691"/>
      <c r="AB27" s="691"/>
      <c r="AC27" s="691"/>
      <c r="AD27" s="691"/>
      <c r="AE27" s="691"/>
      <c r="AF27" s="691"/>
      <c r="AG27" s="672"/>
      <c r="AH27" s="603"/>
    </row>
    <row r="28" spans="1:34" hidden="1">
      <c r="A28" s="707"/>
      <c r="B28" s="727">
        <v>1.17</v>
      </c>
      <c r="C28" s="709" t="s">
        <v>1534</v>
      </c>
      <c r="D28" s="730"/>
      <c r="E28" s="730" t="s">
        <v>2099</v>
      </c>
      <c r="F28" s="730"/>
      <c r="G28" s="730"/>
      <c r="H28" s="730"/>
      <c r="I28" s="731"/>
      <c r="J28" s="707" t="s">
        <v>6</v>
      </c>
      <c r="K28" s="718">
        <v>5</v>
      </c>
      <c r="L28" s="718"/>
      <c r="M28" s="718"/>
      <c r="N28" s="719"/>
      <c r="O28" s="718"/>
      <c r="P28" s="718"/>
      <c r="Q28" s="718"/>
      <c r="T28" s="603"/>
      <c r="U28" s="672"/>
      <c r="V28" s="603"/>
      <c r="W28" s="603"/>
      <c r="X28" s="729"/>
      <c r="Y28" s="691"/>
      <c r="Z28" s="691"/>
      <c r="AA28" s="691"/>
      <c r="AB28" s="691"/>
      <c r="AC28" s="691"/>
      <c r="AD28" s="691"/>
      <c r="AE28" s="691"/>
      <c r="AF28" s="691"/>
      <c r="AG28" s="672"/>
      <c r="AH28" s="603"/>
    </row>
    <row r="29" spans="1:34" hidden="1">
      <c r="A29" s="707"/>
      <c r="B29" s="732"/>
      <c r="C29" s="709"/>
      <c r="D29" s="730"/>
      <c r="E29" s="730"/>
      <c r="F29" s="730"/>
      <c r="G29" s="730"/>
      <c r="H29" s="730"/>
      <c r="I29" s="731"/>
      <c r="J29" s="707"/>
      <c r="K29" s="718"/>
      <c r="L29" s="718"/>
      <c r="M29" s="718"/>
      <c r="N29" s="719"/>
      <c r="O29" s="718"/>
      <c r="P29" s="718"/>
      <c r="Q29" s="718"/>
      <c r="T29" s="603"/>
      <c r="U29" s="672"/>
      <c r="V29" s="603"/>
      <c r="W29" s="603"/>
      <c r="X29" s="729"/>
      <c r="Y29" s="691"/>
      <c r="Z29" s="691"/>
      <c r="AA29" s="691"/>
      <c r="AB29" s="691"/>
      <c r="AC29" s="691"/>
      <c r="AD29" s="691"/>
      <c r="AE29" s="691"/>
      <c r="AF29" s="691"/>
      <c r="AG29" s="672"/>
      <c r="AH29" s="603"/>
    </row>
    <row r="30" spans="1:34">
      <c r="A30" s="733">
        <v>2</v>
      </c>
      <c r="B30" s="734" t="s">
        <v>237</v>
      </c>
      <c r="C30" s="730"/>
      <c r="D30" s="730"/>
      <c r="E30" s="730"/>
      <c r="F30" s="730"/>
      <c r="G30" s="730"/>
      <c r="H30" s="730"/>
      <c r="I30" s="731"/>
      <c r="J30" s="733"/>
      <c r="K30" s="735"/>
      <c r="L30" s="736"/>
      <c r="M30" s="712"/>
      <c r="N30" s="719"/>
      <c r="O30" s="737"/>
      <c r="P30" s="712"/>
      <c r="Q30" s="712"/>
      <c r="T30" s="603"/>
      <c r="U30" s="672"/>
      <c r="V30" s="603"/>
      <c r="W30" s="603"/>
      <c r="X30" s="738"/>
      <c r="Y30" s="738"/>
      <c r="Z30" s="738"/>
      <c r="AA30" s="738"/>
      <c r="AB30" s="738"/>
      <c r="AC30" s="738"/>
      <c r="AD30" s="603"/>
      <c r="AE30" s="603"/>
      <c r="AF30" s="603"/>
      <c r="AG30" s="603"/>
      <c r="AH30" s="603"/>
    </row>
    <row r="31" spans="1:34">
      <c r="A31" s="733"/>
      <c r="B31" s="739">
        <v>2.1</v>
      </c>
      <c r="C31" s="730" t="s">
        <v>646</v>
      </c>
      <c r="D31" s="730"/>
      <c r="E31" s="730"/>
      <c r="F31" s="730"/>
      <c r="G31" s="730"/>
      <c r="H31" s="730"/>
      <c r="I31" s="731"/>
      <c r="J31" s="733"/>
      <c r="K31" s="735"/>
      <c r="L31" s="736"/>
      <c r="M31" s="712"/>
      <c r="N31" s="719"/>
      <c r="O31" s="737"/>
      <c r="P31" s="712"/>
      <c r="Q31" s="712"/>
      <c r="R31" s="574" t="s">
        <v>1328</v>
      </c>
      <c r="T31" s="603"/>
      <c r="U31" s="672"/>
      <c r="V31" s="1353" t="s">
        <v>1926</v>
      </c>
      <c r="W31" s="738"/>
      <c r="X31" s="740" t="s">
        <v>1400</v>
      </c>
      <c r="Y31" s="603"/>
      <c r="Z31" s="738"/>
      <c r="AA31" s="738"/>
      <c r="AB31" s="738"/>
      <c r="AC31" s="738"/>
      <c r="AD31" s="603"/>
      <c r="AE31" s="603"/>
      <c r="AF31" s="603"/>
      <c r="AG31" s="603"/>
      <c r="AH31" s="603"/>
    </row>
    <row r="32" spans="1:34">
      <c r="A32" s="733"/>
      <c r="B32" s="739"/>
      <c r="C32" s="730" t="s">
        <v>701</v>
      </c>
      <c r="D32" s="730" t="s">
        <v>802</v>
      </c>
      <c r="E32" s="730"/>
      <c r="F32" s="730"/>
      <c r="G32" s="730"/>
      <c r="H32" s="730"/>
      <c r="I32" s="731"/>
      <c r="J32" s="733" t="s">
        <v>7</v>
      </c>
      <c r="K32" s="718">
        <f>T32+V32+X32</f>
        <v>4200</v>
      </c>
      <c r="L32" s="718">
        <f>IF(K32=0,0,ราคาต้นทุนงานทาง!H173)</f>
        <v>29.45</v>
      </c>
      <c r="M32" s="718">
        <f>ROUNDDOWN(K32*L32,2)</f>
        <v>123690</v>
      </c>
      <c r="N32" s="719">
        <f>IF(K32=0,0,$N$172)</f>
        <v>1.3794999999999999</v>
      </c>
      <c r="O32" s="718">
        <f>ROUNDDOWN(L32*N32,2)</f>
        <v>40.619999999999997</v>
      </c>
      <c r="P32" s="718">
        <f>ROUNDDOWN(K32*O32,2)</f>
        <v>170604</v>
      </c>
      <c r="Q32" s="718"/>
      <c r="R32" s="574" t="s">
        <v>802</v>
      </c>
      <c r="T32" s="720">
        <f>SUM(T2*1000)*T3</f>
        <v>4200</v>
      </c>
      <c r="U32" s="672" t="s">
        <v>7</v>
      </c>
      <c r="V32" s="720">
        <v>0</v>
      </c>
      <c r="W32" s="1042" t="s">
        <v>7</v>
      </c>
      <c r="X32" s="720">
        <f>'ทางเชื่อม (AC)'!N26</f>
        <v>0</v>
      </c>
      <c r="Y32" s="603" t="s">
        <v>7</v>
      </c>
      <c r="Z32" s="738"/>
      <c r="AA32" s="738"/>
      <c r="AB32" s="738"/>
      <c r="AC32" s="738"/>
      <c r="AD32" s="603"/>
      <c r="AE32" s="603"/>
      <c r="AF32" s="603"/>
      <c r="AG32" s="603"/>
      <c r="AH32" s="603"/>
    </row>
    <row r="33" spans="1:34">
      <c r="A33" s="733"/>
      <c r="B33" s="739"/>
      <c r="C33" s="730" t="s">
        <v>703</v>
      </c>
      <c r="D33" s="730" t="s">
        <v>803</v>
      </c>
      <c r="E33" s="730"/>
      <c r="F33" s="730"/>
      <c r="G33" s="730"/>
      <c r="H33" s="730"/>
      <c r="I33" s="731"/>
      <c r="J33" s="733" t="s">
        <v>7</v>
      </c>
      <c r="K33" s="718">
        <f>T33+V33+X33</f>
        <v>0</v>
      </c>
      <c r="L33" s="718">
        <f>IF(K33=0,0,ราคาต้นทุนงานทาง!H179)</f>
        <v>0</v>
      </c>
      <c r="M33" s="718">
        <f>ROUNDDOWN(K33*L33,2)</f>
        <v>0</v>
      </c>
      <c r="N33" s="719">
        <f>IF(K33=0,0,$N$172)</f>
        <v>0</v>
      </c>
      <c r="O33" s="718">
        <f>ROUNDDOWN(L33*N33,2)</f>
        <v>0</v>
      </c>
      <c r="P33" s="718">
        <f>ROUNDDOWN(K33*O33,2)</f>
        <v>0</v>
      </c>
      <c r="Q33" s="718"/>
      <c r="R33" s="574" t="s">
        <v>803</v>
      </c>
      <c r="T33" s="720">
        <f>IF(D6=R32,((T3*1000)-X7)*T4,0)-Z5+X8</f>
        <v>0</v>
      </c>
      <c r="U33" s="672" t="s">
        <v>7</v>
      </c>
      <c r="V33" s="720">
        <v>0</v>
      </c>
      <c r="W33" s="1042" t="s">
        <v>7</v>
      </c>
      <c r="X33" s="720">
        <v>0</v>
      </c>
      <c r="Y33" s="603" t="s">
        <v>7</v>
      </c>
      <c r="Z33" s="738"/>
      <c r="AA33" s="738"/>
      <c r="AB33" s="738"/>
      <c r="AC33" s="738"/>
      <c r="AD33" s="603"/>
      <c r="AE33" s="603"/>
      <c r="AF33" s="603"/>
      <c r="AG33" s="603"/>
      <c r="AH33" s="603"/>
    </row>
    <row r="34" spans="1:34">
      <c r="A34" s="733"/>
      <c r="B34" s="739">
        <v>2.2000000000000002</v>
      </c>
      <c r="C34" s="730" t="s">
        <v>2102</v>
      </c>
      <c r="D34" s="730"/>
      <c r="E34" s="730"/>
      <c r="F34" s="730"/>
      <c r="G34" s="730"/>
      <c r="H34" s="730"/>
      <c r="I34" s="731"/>
      <c r="J34" s="733" t="s">
        <v>7</v>
      </c>
      <c r="K34" s="718">
        <f>K32</f>
        <v>4200</v>
      </c>
      <c r="L34" s="718">
        <f>IF(K34=0,0,ราคาต้นทุนงานทาง!J225)</f>
        <v>49.027860699999998</v>
      </c>
      <c r="M34" s="718">
        <f>ROUNDDOWN(K34*L34,2)</f>
        <v>205917.01</v>
      </c>
      <c r="N34" s="719">
        <f>IF(K34=0,0,$N$172)</f>
        <v>1.3794999999999999</v>
      </c>
      <c r="O34" s="718">
        <f>ROUNDDOWN(L34*N34,2)</f>
        <v>67.63</v>
      </c>
      <c r="P34" s="718">
        <f>ROUNDDOWN(K34*O34,2)</f>
        <v>284046</v>
      </c>
      <c r="Q34" s="718"/>
      <c r="R34" s="574" t="s">
        <v>1340</v>
      </c>
      <c r="T34" s="720">
        <f>IF(D5=R34,(T2*1000)*T3,0)</f>
        <v>0</v>
      </c>
      <c r="U34" s="672" t="s">
        <v>7</v>
      </c>
      <c r="V34" s="603"/>
      <c r="W34" s="603"/>
      <c r="X34" s="738"/>
      <c r="Y34" s="738"/>
      <c r="Z34" s="738"/>
      <c r="AA34" s="738"/>
      <c r="AB34" s="738"/>
      <c r="AC34" s="738"/>
      <c r="AD34" s="603"/>
      <c r="AE34" s="603"/>
      <c r="AF34" s="603"/>
      <c r="AG34" s="603"/>
      <c r="AH34" s="603"/>
    </row>
    <row r="35" spans="1:34" hidden="1">
      <c r="A35" s="733"/>
      <c r="B35" s="739">
        <v>2.2999999999999998</v>
      </c>
      <c r="C35" s="741" t="s">
        <v>1547</v>
      </c>
      <c r="D35" s="730"/>
      <c r="E35" s="730"/>
      <c r="F35" s="730"/>
      <c r="G35" s="730"/>
      <c r="H35" s="730"/>
      <c r="I35" s="731"/>
      <c r="J35" s="733" t="s">
        <v>7</v>
      </c>
      <c r="K35" s="718">
        <f>T35</f>
        <v>0</v>
      </c>
      <c r="L35" s="718">
        <f>IF(K35=0,0,ราคาต้นทุนงานทาง!J257)</f>
        <v>0</v>
      </c>
      <c r="M35" s="718">
        <f>ROUNDDOWN(K35*L35,2)</f>
        <v>0</v>
      </c>
      <c r="N35" s="719">
        <f>IF(K35=0,0,$N$172)</f>
        <v>0</v>
      </c>
      <c r="O35" s="718">
        <f>ROUNDDOWN(L35*N35,2)</f>
        <v>0</v>
      </c>
      <c r="P35" s="718">
        <f>ROUNDDOWN(K35*O35,2)</f>
        <v>0</v>
      </c>
      <c r="Q35" s="718"/>
      <c r="R35" s="574" t="s">
        <v>1997</v>
      </c>
      <c r="T35" s="720"/>
      <c r="U35" s="672" t="s">
        <v>7</v>
      </c>
      <c r="V35" s="603"/>
      <c r="W35" s="603"/>
      <c r="X35" s="738"/>
      <c r="Y35" s="738"/>
      <c r="Z35" s="738"/>
      <c r="AA35" s="738"/>
      <c r="AB35" s="738"/>
      <c r="AC35" s="738"/>
      <c r="AD35" s="603"/>
      <c r="AE35" s="603"/>
      <c r="AF35" s="603"/>
      <c r="AG35" s="603"/>
      <c r="AH35" s="603"/>
    </row>
    <row r="36" spans="1:34" hidden="1">
      <c r="A36" s="733"/>
      <c r="B36" s="739">
        <v>2.4</v>
      </c>
      <c r="C36" s="741" t="s">
        <v>1998</v>
      </c>
      <c r="D36" s="730"/>
      <c r="E36" s="730"/>
      <c r="F36" s="730"/>
      <c r="G36" s="730"/>
      <c r="H36" s="730"/>
      <c r="I36" s="731"/>
      <c r="J36" s="733" t="s">
        <v>7</v>
      </c>
      <c r="K36" s="718">
        <f>T36</f>
        <v>0</v>
      </c>
      <c r="L36" s="718">
        <f>IF(K36=0,0,ราคาต้นทุนงานทาง!J261)</f>
        <v>0</v>
      </c>
      <c r="M36" s="718">
        <f>ROUNDDOWN(K36*L36,2)</f>
        <v>0</v>
      </c>
      <c r="N36" s="719">
        <f>IF(K36=0,0,$N$172)</f>
        <v>0</v>
      </c>
      <c r="O36" s="718">
        <f>ROUNDDOWN(L36*N36,2)</f>
        <v>0</v>
      </c>
      <c r="P36" s="718">
        <f>ROUNDDOWN(K36*O36,2)</f>
        <v>0</v>
      </c>
      <c r="Q36" s="718"/>
      <c r="R36" s="574" t="s">
        <v>1996</v>
      </c>
      <c r="T36" s="720"/>
      <c r="U36" s="672" t="s">
        <v>7</v>
      </c>
      <c r="V36" s="603"/>
      <c r="W36" s="603"/>
      <c r="X36" s="738"/>
      <c r="Y36" s="738"/>
      <c r="Z36" s="738"/>
      <c r="AA36" s="738"/>
      <c r="AB36" s="738"/>
      <c r="AC36" s="738"/>
      <c r="AD36" s="603"/>
      <c r="AE36" s="603"/>
      <c r="AF36" s="603"/>
      <c r="AG36" s="603"/>
      <c r="AH36" s="603"/>
    </row>
    <row r="37" spans="1:34" hidden="1">
      <c r="A37" s="733"/>
      <c r="B37" s="739">
        <v>2.2000000000000002</v>
      </c>
      <c r="C37" s="730" t="s">
        <v>1944</v>
      </c>
      <c r="D37" s="730"/>
      <c r="E37" s="730"/>
      <c r="F37" s="730"/>
      <c r="G37" s="730"/>
      <c r="H37" s="730"/>
      <c r="I37" s="731"/>
      <c r="J37" s="733"/>
      <c r="K37" s="735"/>
      <c r="L37" s="736"/>
      <c r="M37" s="712"/>
      <c r="N37" s="719"/>
      <c r="O37" s="737"/>
      <c r="P37" s="712"/>
      <c r="Q37" s="712"/>
      <c r="T37" s="603"/>
      <c r="U37" s="672"/>
      <c r="V37" s="1353" t="s">
        <v>1926</v>
      </c>
      <c r="W37" s="738"/>
      <c r="X37" s="740" t="s">
        <v>1400</v>
      </c>
      <c r="Y37" s="738"/>
      <c r="Z37" s="738"/>
      <c r="AA37" s="738"/>
      <c r="AB37" s="738"/>
      <c r="AC37" s="738"/>
      <c r="AD37" s="603"/>
      <c r="AE37" s="603"/>
      <c r="AF37" s="603"/>
      <c r="AG37" s="603"/>
      <c r="AH37" s="603"/>
    </row>
    <row r="38" spans="1:34" hidden="1">
      <c r="A38" s="733"/>
      <c r="B38" s="739"/>
      <c r="C38" s="730" t="s">
        <v>1545</v>
      </c>
      <c r="D38" s="730" t="s">
        <v>1945</v>
      </c>
      <c r="E38" s="730"/>
      <c r="F38" s="730"/>
      <c r="G38" s="730"/>
      <c r="H38" s="730"/>
      <c r="I38" s="731"/>
      <c r="J38" s="733" t="s">
        <v>7</v>
      </c>
      <c r="K38" s="718">
        <f>T38+V38+X38</f>
        <v>0</v>
      </c>
      <c r="L38" s="718">
        <f>IF(K38=0,0,ราคาต้นทุนงานทาง!J300)</f>
        <v>0</v>
      </c>
      <c r="M38" s="718">
        <f>ROUNDDOWN(K38*L38,2)</f>
        <v>0</v>
      </c>
      <c r="N38" s="719">
        <f>IF(K38=0,0,$N$172)</f>
        <v>0</v>
      </c>
      <c r="O38" s="718">
        <f>ROUNDDOWN(L38*N38,2)</f>
        <v>0</v>
      </c>
      <c r="P38" s="718">
        <f>ROUNDDOWN(K38*O38,2)</f>
        <v>0</v>
      </c>
      <c r="Q38" s="718"/>
      <c r="R38" s="574" t="s">
        <v>1328</v>
      </c>
      <c r="T38" s="720">
        <f>IF(AND(D5=R38,E39&gt;0),T32,0)</f>
        <v>0</v>
      </c>
      <c r="U38" s="672" t="s">
        <v>7</v>
      </c>
      <c r="V38" s="720">
        <v>0</v>
      </c>
      <c r="W38" s="1042" t="s">
        <v>7</v>
      </c>
      <c r="X38" s="720">
        <f>'ทางเชื่อม (AC)'!O26</f>
        <v>0</v>
      </c>
      <c r="Y38" s="603" t="s">
        <v>7</v>
      </c>
      <c r="Z38" s="738"/>
      <c r="AA38" s="738"/>
      <c r="AB38" s="738"/>
      <c r="AC38" s="738"/>
      <c r="AD38" s="603"/>
      <c r="AE38" s="603"/>
      <c r="AF38" s="603"/>
      <c r="AG38" s="603"/>
      <c r="AH38" s="603"/>
    </row>
    <row r="39" spans="1:34" hidden="1">
      <c r="A39" s="733"/>
      <c r="B39" s="739"/>
      <c r="C39" s="730"/>
      <c r="D39" s="742" t="s">
        <v>493</v>
      </c>
      <c r="E39" s="743">
        <v>5</v>
      </c>
      <c r="F39" s="730" t="s">
        <v>1012</v>
      </c>
      <c r="G39" s="730"/>
      <c r="H39" s="730"/>
      <c r="I39" s="731"/>
      <c r="J39" s="733"/>
      <c r="K39" s="735"/>
      <c r="L39" s="736"/>
      <c r="M39" s="712"/>
      <c r="N39" s="719"/>
      <c r="O39" s="737"/>
      <c r="P39" s="712"/>
      <c r="Q39" s="712"/>
      <c r="T39" s="603"/>
      <c r="U39" s="672"/>
      <c r="V39" s="603"/>
      <c r="W39" s="603"/>
      <c r="X39" s="738"/>
      <c r="Y39" s="738"/>
      <c r="Z39" s="738"/>
      <c r="AA39" s="738"/>
      <c r="AB39" s="738"/>
      <c r="AC39" s="738"/>
      <c r="AD39" s="603"/>
      <c r="AE39" s="603"/>
      <c r="AF39" s="603"/>
      <c r="AG39" s="603"/>
      <c r="AH39" s="603"/>
    </row>
    <row r="40" spans="1:34" hidden="1">
      <c r="A40" s="733"/>
      <c r="B40" s="739"/>
      <c r="C40" s="730" t="s">
        <v>1546</v>
      </c>
      <c r="D40" s="730" t="s">
        <v>1945</v>
      </c>
      <c r="E40" s="730"/>
      <c r="F40" s="730"/>
      <c r="G40" s="730"/>
      <c r="H40" s="730"/>
      <c r="I40" s="731"/>
      <c r="J40" s="733" t="s">
        <v>7</v>
      </c>
      <c r="K40" s="718">
        <f>T40+V40+X40</f>
        <v>0</v>
      </c>
      <c r="L40" s="718">
        <f>IF(K40=0,0,ราคาต้นทุนงานทาง!J329)</f>
        <v>0</v>
      </c>
      <c r="M40" s="718">
        <f>K40*L40</f>
        <v>0</v>
      </c>
      <c r="N40" s="719">
        <f>IF(K40=0,0,$N$172)</f>
        <v>0</v>
      </c>
      <c r="O40" s="718">
        <f>ROUND(L40*N40,2)</f>
        <v>0</v>
      </c>
      <c r="P40" s="718">
        <f>ROUNDDOWN(K40*O40,2)</f>
        <v>0</v>
      </c>
      <c r="Q40" s="718"/>
      <c r="R40" s="574" t="s">
        <v>1328</v>
      </c>
      <c r="T40" s="720">
        <f>IF(AND(D5=R40,E41&gt;0),T33,0)</f>
        <v>0</v>
      </c>
      <c r="U40" s="672" t="s">
        <v>7</v>
      </c>
      <c r="V40" s="603"/>
      <c r="W40" s="603"/>
      <c r="X40" s="738"/>
      <c r="Y40" s="738"/>
      <c r="Z40" s="738"/>
      <c r="AA40" s="738"/>
      <c r="AB40" s="738"/>
      <c r="AC40" s="738"/>
      <c r="AD40" s="603"/>
      <c r="AE40" s="603"/>
      <c r="AF40" s="603"/>
      <c r="AG40" s="603"/>
      <c r="AH40" s="603"/>
    </row>
    <row r="41" spans="1:34" hidden="1">
      <c r="A41" s="733"/>
      <c r="B41" s="739"/>
      <c r="C41" s="730"/>
      <c r="D41" s="742" t="s">
        <v>493</v>
      </c>
      <c r="E41" s="743">
        <v>5</v>
      </c>
      <c r="F41" s="730" t="s">
        <v>1013</v>
      </c>
      <c r="G41" s="730"/>
      <c r="H41" s="730"/>
      <c r="I41" s="731"/>
      <c r="J41" s="733"/>
      <c r="K41" s="735"/>
      <c r="L41" s="736"/>
      <c r="M41" s="712"/>
      <c r="N41" s="719"/>
      <c r="O41" s="737"/>
      <c r="P41" s="712"/>
      <c r="Q41" s="712"/>
      <c r="T41" s="603"/>
      <c r="U41" s="672"/>
      <c r="V41" s="603"/>
      <c r="W41" s="603"/>
      <c r="X41" s="738"/>
      <c r="Y41" s="738"/>
      <c r="Z41" s="738"/>
      <c r="AA41" s="738"/>
      <c r="AB41" s="738"/>
      <c r="AC41" s="738"/>
      <c r="AD41" s="603"/>
      <c r="AE41" s="603"/>
      <c r="AF41" s="603"/>
      <c r="AG41" s="603"/>
      <c r="AH41" s="603"/>
    </row>
    <row r="42" spans="1:34" hidden="1">
      <c r="A42" s="733"/>
      <c r="B42" s="739">
        <v>2.6</v>
      </c>
      <c r="C42" s="730" t="s">
        <v>527</v>
      </c>
      <c r="D42" s="730"/>
      <c r="E42" s="730"/>
      <c r="F42" s="730"/>
      <c r="G42" s="730"/>
      <c r="H42" s="730"/>
      <c r="I42" s="731"/>
      <c r="J42" s="733"/>
      <c r="K42" s="735"/>
      <c r="L42" s="736"/>
      <c r="M42" s="712"/>
      <c r="N42" s="719"/>
      <c r="O42" s="737"/>
      <c r="P42" s="712"/>
      <c r="Q42" s="712"/>
      <c r="R42" s="744"/>
      <c r="S42" s="738"/>
      <c r="T42" s="738"/>
      <c r="U42" s="738"/>
      <c r="V42" s="738"/>
      <c r="W42" s="1448">
        <v>18472050</v>
      </c>
      <c r="X42" s="738"/>
      <c r="Y42" s="738"/>
      <c r="Z42" s="745"/>
      <c r="AA42" s="745"/>
      <c r="AB42" s="745"/>
      <c r="AC42" s="738"/>
      <c r="AD42" s="740"/>
      <c r="AE42" s="740"/>
      <c r="AF42" s="603"/>
      <c r="AG42" s="603"/>
      <c r="AH42" s="603"/>
    </row>
    <row r="43" spans="1:34" hidden="1">
      <c r="A43" s="733"/>
      <c r="B43" s="739"/>
      <c r="C43" s="730" t="s">
        <v>1990</v>
      </c>
      <c r="D43" s="730" t="s">
        <v>1015</v>
      </c>
      <c r="E43" s="730"/>
      <c r="F43" s="730"/>
      <c r="G43" s="730"/>
      <c r="H43" s="746"/>
      <c r="I43" s="731" t="s">
        <v>585</v>
      </c>
      <c r="J43" s="733" t="s">
        <v>7</v>
      </c>
      <c r="K43" s="718">
        <f>T43</f>
        <v>0</v>
      </c>
      <c r="L43" s="718">
        <f>IF(K43=0,0,ราคาต้นทุนงานทาง!J363)</f>
        <v>0</v>
      </c>
      <c r="M43" s="718">
        <f t="shared" ref="M43:M49" si="2">K43*L43</f>
        <v>0</v>
      </c>
      <c r="N43" s="719">
        <f t="shared" ref="N43:N49" si="3">IF(K43=0,0,$N$172)</f>
        <v>0</v>
      </c>
      <c r="O43" s="718">
        <f t="shared" ref="O43:O49" si="4">ROUND(L43*N43,2)</f>
        <v>0</v>
      </c>
      <c r="P43" s="718">
        <f>ROUNDDOWN(K43*O43,2)</f>
        <v>0</v>
      </c>
      <c r="Q43" s="718"/>
      <c r="R43" s="744" t="s">
        <v>1197</v>
      </c>
      <c r="S43" s="738"/>
      <c r="T43" s="720">
        <f>IF(D5=R43,ROUNDDOWN((Soil!AA210+Soil!AB210)+((0.5)*(T5+V5)*(X5)),0),0)</f>
        <v>0</v>
      </c>
      <c r="U43" s="672" t="s">
        <v>7</v>
      </c>
      <c r="V43" s="738"/>
      <c r="W43" s="738"/>
      <c r="X43" s="738"/>
      <c r="Y43" s="738"/>
      <c r="Z43" s="745"/>
      <c r="AA43" s="745"/>
      <c r="AB43" s="745"/>
      <c r="AC43" s="738"/>
      <c r="AD43" s="740"/>
      <c r="AE43" s="740"/>
      <c r="AF43" s="603"/>
      <c r="AG43" s="603"/>
      <c r="AH43" s="603"/>
    </row>
    <row r="44" spans="1:34" hidden="1">
      <c r="A44" s="733"/>
      <c r="B44" s="747"/>
      <c r="C44" s="730" t="s">
        <v>1991</v>
      </c>
      <c r="D44" s="730" t="s">
        <v>804</v>
      </c>
      <c r="E44" s="730"/>
      <c r="F44" s="730"/>
      <c r="G44" s="730"/>
      <c r="H44" s="730"/>
      <c r="I44" s="731"/>
      <c r="J44" s="733" t="s">
        <v>17</v>
      </c>
      <c r="K44" s="718">
        <f>T44</f>
        <v>0</v>
      </c>
      <c r="L44" s="718">
        <f>IF(K44=0,0,ราคาต้นทุนงานทาง!J406)</f>
        <v>0</v>
      </c>
      <c r="M44" s="718">
        <f t="shared" si="2"/>
        <v>0</v>
      </c>
      <c r="N44" s="719">
        <f t="shared" si="3"/>
        <v>0</v>
      </c>
      <c r="O44" s="718">
        <f t="shared" si="4"/>
        <v>0</v>
      </c>
      <c r="P44" s="718">
        <f>ROUNDDOWN(K44*O44,2)</f>
        <v>0</v>
      </c>
      <c r="Q44" s="718"/>
      <c r="R44" s="730" t="s">
        <v>804</v>
      </c>
      <c r="S44" s="738"/>
      <c r="T44" s="720">
        <f>IF(D5=R43,(ROUNDUP(T2*1000/100,0)+1)*T3,0)</f>
        <v>0</v>
      </c>
      <c r="U44" s="686" t="s">
        <v>744</v>
      </c>
      <c r="V44" s="738"/>
      <c r="W44" s="738"/>
      <c r="X44" s="738"/>
      <c r="Y44" s="738"/>
      <c r="Z44" s="745"/>
      <c r="AA44" s="745"/>
      <c r="AB44" s="745"/>
      <c r="AC44" s="738"/>
      <c r="AD44" s="740"/>
      <c r="AE44" s="740"/>
      <c r="AF44" s="603"/>
      <c r="AG44" s="603"/>
      <c r="AH44" s="603"/>
    </row>
    <row r="45" spans="1:34" hidden="1">
      <c r="A45" s="733"/>
      <c r="B45" s="747"/>
      <c r="C45" s="730" t="s">
        <v>1992</v>
      </c>
      <c r="D45" s="730" t="s">
        <v>805</v>
      </c>
      <c r="E45" s="730"/>
      <c r="F45" s="730"/>
      <c r="G45" s="730"/>
      <c r="H45" s="730"/>
      <c r="I45" s="731"/>
      <c r="J45" s="733" t="s">
        <v>17</v>
      </c>
      <c r="K45" s="718">
        <f>T45</f>
        <v>0</v>
      </c>
      <c r="L45" s="718">
        <f>IF(K45=0,0,ราคาต้นทุนงานทาง!J451)</f>
        <v>0</v>
      </c>
      <c r="M45" s="718">
        <f t="shared" si="2"/>
        <v>0</v>
      </c>
      <c r="N45" s="719">
        <f t="shared" si="3"/>
        <v>0</v>
      </c>
      <c r="O45" s="718">
        <f t="shared" si="4"/>
        <v>0</v>
      </c>
      <c r="P45" s="718">
        <f>ROUNDDOWN(K45*O45,2)</f>
        <v>0</v>
      </c>
      <c r="Q45" s="718"/>
      <c r="R45" s="730" t="s">
        <v>805</v>
      </c>
      <c r="S45" s="738"/>
      <c r="T45" s="720">
        <f>IF(D5=R43,(INT(T2*1000/10)*T3)-T44,0)</f>
        <v>0</v>
      </c>
      <c r="U45" s="686" t="s">
        <v>744</v>
      </c>
      <c r="V45" s="738"/>
      <c r="W45" s="738"/>
      <c r="X45" s="738"/>
      <c r="Y45" s="738"/>
      <c r="Z45" s="745"/>
      <c r="AA45" s="745"/>
      <c r="AB45" s="745"/>
      <c r="AC45" s="738"/>
      <c r="AD45" s="740"/>
      <c r="AE45" s="740"/>
      <c r="AF45" s="603"/>
      <c r="AG45" s="603"/>
      <c r="AH45" s="603"/>
    </row>
    <row r="46" spans="1:34" hidden="1">
      <c r="A46" s="733"/>
      <c r="B46" s="747"/>
      <c r="C46" s="730" t="s">
        <v>1993</v>
      </c>
      <c r="D46" s="730" t="s">
        <v>806</v>
      </c>
      <c r="E46" s="730"/>
      <c r="F46" s="730"/>
      <c r="G46" s="730"/>
      <c r="H46" s="730"/>
      <c r="I46" s="731"/>
      <c r="J46" s="707" t="s">
        <v>17</v>
      </c>
      <c r="K46" s="718">
        <f>T46</f>
        <v>0</v>
      </c>
      <c r="L46" s="718">
        <f>IF(K46=0,0,ราคาต้นทุนงานทาง!J490)</f>
        <v>0</v>
      </c>
      <c r="M46" s="718">
        <f t="shared" si="2"/>
        <v>0</v>
      </c>
      <c r="N46" s="719">
        <f t="shared" si="3"/>
        <v>0</v>
      </c>
      <c r="O46" s="718">
        <f t="shared" si="4"/>
        <v>0</v>
      </c>
      <c r="P46" s="718">
        <f>ROUNDDOWN(K46*O46,2)</f>
        <v>0</v>
      </c>
      <c r="Q46" s="718"/>
      <c r="R46" s="730" t="s">
        <v>806</v>
      </c>
      <c r="S46" s="738"/>
      <c r="T46" s="720">
        <f>IF(D5=R43,T2*1000,0)</f>
        <v>0</v>
      </c>
      <c r="U46" s="686" t="s">
        <v>744</v>
      </c>
      <c r="V46" s="738"/>
      <c r="W46" s="738"/>
      <c r="X46" s="738"/>
      <c r="Y46" s="738"/>
      <c r="Z46" s="745"/>
      <c r="AA46" s="745"/>
      <c r="AB46" s="745"/>
      <c r="AC46" s="738"/>
      <c r="AD46" s="740"/>
      <c r="AE46" s="740"/>
      <c r="AF46" s="603"/>
      <c r="AG46" s="603"/>
      <c r="AH46" s="603"/>
    </row>
    <row r="47" spans="1:34" s="758" customFormat="1" hidden="1">
      <c r="A47" s="748"/>
      <c r="B47" s="749"/>
      <c r="C47" s="750" t="s">
        <v>1994</v>
      </c>
      <c r="D47" s="750" t="s">
        <v>807</v>
      </c>
      <c r="E47" s="750"/>
      <c r="F47" s="750"/>
      <c r="G47" s="750"/>
      <c r="H47" s="750"/>
      <c r="I47" s="751"/>
      <c r="J47" s="748" t="s">
        <v>17</v>
      </c>
      <c r="K47" s="752">
        <v>0</v>
      </c>
      <c r="L47" s="752"/>
      <c r="M47" s="752">
        <f t="shared" si="2"/>
        <v>0</v>
      </c>
      <c r="N47" s="753">
        <f t="shared" si="3"/>
        <v>0</v>
      </c>
      <c r="O47" s="752">
        <f t="shared" si="4"/>
        <v>0</v>
      </c>
      <c r="P47" s="752">
        <f>M47*N47</f>
        <v>0</v>
      </c>
      <c r="Q47" s="752"/>
      <c r="R47" s="754"/>
      <c r="S47" s="755"/>
      <c r="T47" s="755"/>
      <c r="U47" s="755"/>
      <c r="V47" s="755"/>
      <c r="W47" s="755"/>
      <c r="X47" s="755"/>
      <c r="Y47" s="755"/>
      <c r="Z47" s="756"/>
      <c r="AA47" s="756"/>
      <c r="AB47" s="756"/>
      <c r="AC47" s="755"/>
      <c r="AD47" s="757"/>
      <c r="AE47" s="757"/>
    </row>
    <row r="48" spans="1:34" s="758" customFormat="1" hidden="1">
      <c r="A48" s="748"/>
      <c r="B48" s="749"/>
      <c r="C48" s="750" t="s">
        <v>1995</v>
      </c>
      <c r="D48" s="750" t="s">
        <v>808</v>
      </c>
      <c r="E48" s="750"/>
      <c r="F48" s="750"/>
      <c r="G48" s="750"/>
      <c r="H48" s="750"/>
      <c r="I48" s="751"/>
      <c r="J48" s="748" t="s">
        <v>17</v>
      </c>
      <c r="K48" s="752">
        <v>0</v>
      </c>
      <c r="L48" s="752"/>
      <c r="M48" s="752">
        <f t="shared" si="2"/>
        <v>0</v>
      </c>
      <c r="N48" s="753">
        <f t="shared" si="3"/>
        <v>0</v>
      </c>
      <c r="O48" s="752">
        <f t="shared" si="4"/>
        <v>0</v>
      </c>
      <c r="P48" s="752">
        <f>M48*N48</f>
        <v>0</v>
      </c>
      <c r="Q48" s="752"/>
      <c r="R48" s="754"/>
      <c r="S48" s="755"/>
      <c r="T48" s="755"/>
      <c r="U48" s="755"/>
      <c r="V48" s="755"/>
      <c r="W48" s="755"/>
      <c r="X48" s="755"/>
      <c r="Y48" s="755"/>
      <c r="Z48" s="756"/>
      <c r="AA48" s="756"/>
      <c r="AB48" s="756"/>
      <c r="AC48" s="755"/>
      <c r="AD48" s="757"/>
      <c r="AE48" s="757"/>
    </row>
    <row r="49" spans="1:34" hidden="1">
      <c r="A49" s="733"/>
      <c r="B49" s="747">
        <v>2.7</v>
      </c>
      <c r="C49" s="730" t="s">
        <v>647</v>
      </c>
      <c r="D49" s="730"/>
      <c r="E49" s="730"/>
      <c r="F49" s="730"/>
      <c r="G49" s="730"/>
      <c r="H49" s="730"/>
      <c r="I49" s="731"/>
      <c r="J49" s="707" t="s">
        <v>7</v>
      </c>
      <c r="K49" s="718">
        <v>0</v>
      </c>
      <c r="L49" s="718">
        <f>IF(K49=0,0,0)</f>
        <v>0</v>
      </c>
      <c r="M49" s="718">
        <f t="shared" si="2"/>
        <v>0</v>
      </c>
      <c r="N49" s="719">
        <f t="shared" si="3"/>
        <v>0</v>
      </c>
      <c r="O49" s="718">
        <f t="shared" si="4"/>
        <v>0</v>
      </c>
      <c r="P49" s="718">
        <f>ROUNDDOWN(K49*O49,2)</f>
        <v>0</v>
      </c>
      <c r="Q49" s="718"/>
      <c r="R49" s="744"/>
      <c r="S49" s="738"/>
      <c r="T49" s="738"/>
      <c r="U49" s="738"/>
      <c r="V49" s="738"/>
      <c r="W49" s="738"/>
      <c r="X49" s="738"/>
      <c r="Y49" s="738"/>
      <c r="Z49" s="745"/>
      <c r="AA49" s="745"/>
      <c r="AB49" s="745"/>
      <c r="AC49" s="738"/>
      <c r="AD49" s="740"/>
      <c r="AE49" s="740"/>
      <c r="AF49" s="603"/>
      <c r="AG49" s="603"/>
      <c r="AH49" s="603"/>
    </row>
    <row r="50" spans="1:34" hidden="1">
      <c r="A50" s="733"/>
      <c r="B50" s="747"/>
      <c r="C50" s="730"/>
      <c r="D50" s="730"/>
      <c r="E50" s="730"/>
      <c r="F50" s="730"/>
      <c r="G50" s="730"/>
      <c r="H50" s="730"/>
      <c r="I50" s="731"/>
      <c r="J50" s="707"/>
      <c r="K50" s="718"/>
      <c r="L50" s="718"/>
      <c r="M50" s="718"/>
      <c r="N50" s="719"/>
      <c r="O50" s="718"/>
      <c r="P50" s="718"/>
      <c r="Q50" s="718"/>
      <c r="R50" s="574" t="s">
        <v>1332</v>
      </c>
      <c r="T50" s="720">
        <f>(T2*1000)</f>
        <v>840</v>
      </c>
      <c r="U50" s="574" t="s">
        <v>744</v>
      </c>
      <c r="V50" s="575" t="s">
        <v>1499</v>
      </c>
      <c r="X50" s="738"/>
      <c r="Y50" s="738"/>
      <c r="Z50" s="745"/>
      <c r="AA50" s="745"/>
      <c r="AB50" s="745"/>
      <c r="AC50" s="738"/>
      <c r="AD50" s="740"/>
      <c r="AE50" s="740"/>
      <c r="AF50" s="603"/>
      <c r="AG50" s="603"/>
      <c r="AH50" s="603"/>
    </row>
    <row r="51" spans="1:34" hidden="1">
      <c r="A51" s="733">
        <v>3</v>
      </c>
      <c r="B51" s="759" t="s">
        <v>1548</v>
      </c>
      <c r="C51" s="730"/>
      <c r="D51" s="730"/>
      <c r="E51" s="730"/>
      <c r="F51" s="730"/>
      <c r="G51" s="730"/>
      <c r="H51" s="730"/>
      <c r="I51" s="731"/>
      <c r="J51" s="707"/>
      <c r="K51" s="718"/>
      <c r="L51" s="718"/>
      <c r="M51" s="718"/>
      <c r="N51" s="719"/>
      <c r="O51" s="718"/>
      <c r="P51" s="718"/>
      <c r="Q51" s="718"/>
      <c r="R51" s="595" t="s">
        <v>1333</v>
      </c>
      <c r="S51" s="760">
        <v>0.5</v>
      </c>
      <c r="T51" s="720">
        <f>T50*S51*V51</f>
        <v>42</v>
      </c>
      <c r="U51" s="574" t="s">
        <v>7</v>
      </c>
      <c r="V51" s="720">
        <v>0.1</v>
      </c>
      <c r="W51" s="761" t="s">
        <v>1495</v>
      </c>
      <c r="X51" s="738"/>
      <c r="Y51" s="738"/>
      <c r="Z51" s="745"/>
      <c r="AA51" s="745"/>
      <c r="AB51" s="745"/>
      <c r="AC51" s="738"/>
      <c r="AD51" s="740"/>
      <c r="AE51" s="740"/>
      <c r="AF51" s="603"/>
      <c r="AG51" s="603"/>
      <c r="AH51" s="603"/>
    </row>
    <row r="52" spans="1:34" ht="22.5" hidden="1" thickBot="1">
      <c r="A52" s="733"/>
      <c r="B52" s="747">
        <v>3.1</v>
      </c>
      <c r="C52" s="730" t="s">
        <v>1549</v>
      </c>
      <c r="D52" s="730"/>
      <c r="E52" s="574" t="str">
        <f>"(แถบสีขาวกว้าง "&amp;FIXED(V53,2)&amp;" ม. แถบสีเหลืองกว้าง "&amp;FIXED(V51,2)&amp;" ม.)"</f>
        <v>(แถบสีขาวกว้าง 0.10 ม. แถบสีเหลืองกว้าง 0.10 ม.)</v>
      </c>
      <c r="H52" s="730"/>
      <c r="I52" s="731"/>
      <c r="J52" s="707" t="s">
        <v>7</v>
      </c>
      <c r="K52" s="718">
        <f>ROUNDDOWN(SUM(W52),0)*0</f>
        <v>0</v>
      </c>
      <c r="L52" s="718">
        <f>IF(K52=0,0,280)</f>
        <v>0</v>
      </c>
      <c r="M52" s="718">
        <f>ROUNDDOWN(K52*L52,2)</f>
        <v>0</v>
      </c>
      <c r="N52" s="719">
        <f>IF(K52=0,0,$N$172)</f>
        <v>0</v>
      </c>
      <c r="O52" s="718">
        <f>ROUNDDOWN(L52*N52,2)</f>
        <v>0</v>
      </c>
      <c r="P52" s="718">
        <f>ROUNDDOWN(K52*O52,2)</f>
        <v>0</v>
      </c>
      <c r="Q52" s="718"/>
      <c r="R52" s="595" t="s">
        <v>1334</v>
      </c>
      <c r="S52" s="760">
        <f>1-S51</f>
        <v>0.5</v>
      </c>
      <c r="T52" s="720">
        <f>T50*S52*V52*3/12</f>
        <v>10.5</v>
      </c>
      <c r="U52" s="574" t="s">
        <v>7</v>
      </c>
      <c r="V52" s="720">
        <f>V51</f>
        <v>0.1</v>
      </c>
      <c r="W52" s="762">
        <f>ROUNDDOWN(SUM(T51:T53),1)</f>
        <v>220.5</v>
      </c>
      <c r="X52" s="738"/>
      <c r="Y52" s="738"/>
      <c r="Z52" s="745"/>
      <c r="AA52" s="745"/>
      <c r="AB52" s="745"/>
      <c r="AC52" s="738"/>
      <c r="AD52" s="740"/>
      <c r="AE52" s="740"/>
      <c r="AF52" s="603"/>
      <c r="AG52" s="603"/>
      <c r="AH52" s="603"/>
    </row>
    <row r="53" spans="1:34" ht="22.5" hidden="1" thickTop="1">
      <c r="A53" s="733"/>
      <c r="B53" s="747">
        <v>3.2</v>
      </c>
      <c r="C53" s="730" t="s">
        <v>1550</v>
      </c>
      <c r="D53" s="730"/>
      <c r="E53" s="603"/>
      <c r="F53" s="603"/>
      <c r="G53" s="730"/>
      <c r="H53" s="730"/>
      <c r="I53" s="731"/>
      <c r="J53" s="733" t="s">
        <v>7</v>
      </c>
      <c r="K53" s="763">
        <v>0</v>
      </c>
      <c r="L53" s="718">
        <f>IF(K53=0,0,412)</f>
        <v>0</v>
      </c>
      <c r="M53" s="763">
        <f>ROUNDDOWN(K53*L53,2)</f>
        <v>0</v>
      </c>
      <c r="N53" s="764">
        <f>IF(K53=0,0,$N$172)</f>
        <v>0</v>
      </c>
      <c r="O53" s="763">
        <f>ROUNDDOWN(L53*N53,2)</f>
        <v>0</v>
      </c>
      <c r="P53" s="718">
        <f>ROUNDDOWN(K53*O53,2)</f>
        <v>0</v>
      </c>
      <c r="Q53" s="763"/>
      <c r="R53" s="595" t="s">
        <v>434</v>
      </c>
      <c r="S53" s="760">
        <v>2</v>
      </c>
      <c r="T53" s="720">
        <f>T50*S53*V53</f>
        <v>168</v>
      </c>
      <c r="U53" s="574" t="s">
        <v>7</v>
      </c>
      <c r="V53" s="720">
        <v>0.1</v>
      </c>
      <c r="X53" s="738"/>
      <c r="Y53" s="738"/>
      <c r="Z53" s="745"/>
      <c r="AA53" s="745"/>
      <c r="AB53" s="745"/>
      <c r="AC53" s="738"/>
      <c r="AD53" s="740"/>
      <c r="AE53" s="740"/>
      <c r="AF53" s="603"/>
      <c r="AG53" s="603"/>
      <c r="AH53" s="603"/>
    </row>
    <row r="54" spans="1:34" hidden="1">
      <c r="A54" s="733"/>
      <c r="B54" s="747">
        <v>3.3</v>
      </c>
      <c r="C54" s="730" t="s">
        <v>1551</v>
      </c>
      <c r="D54" s="730"/>
      <c r="G54" s="730"/>
      <c r="H54" s="730"/>
      <c r="I54" s="731"/>
      <c r="J54" s="707" t="s">
        <v>7</v>
      </c>
      <c r="K54" s="718">
        <f>ROUNDDOWN(T54*W54,2)</f>
        <v>0</v>
      </c>
      <c r="L54" s="718">
        <f>IF(K54=0,0,400)</f>
        <v>0</v>
      </c>
      <c r="M54" s="718">
        <f>ROUNDDOWN(K54*L54,2)</f>
        <v>0</v>
      </c>
      <c r="N54" s="719">
        <f>IF(K54=0,0,$N$172)</f>
        <v>0</v>
      </c>
      <c r="O54" s="718">
        <f>ROUNDDOWN(L54*N54,2)</f>
        <v>0</v>
      </c>
      <c r="P54" s="718">
        <f>ROUNDDOWN(K54*O54,2)</f>
        <v>0</v>
      </c>
      <c r="Q54" s="718"/>
      <c r="R54" s="574" t="s">
        <v>1409</v>
      </c>
      <c r="S54" s="668"/>
      <c r="T54" s="676">
        <v>0</v>
      </c>
      <c r="U54" s="574" t="s">
        <v>1410</v>
      </c>
      <c r="W54" s="673">
        <f>IF(T54=0,0,IF(I5&lt;=6,((I5/2)-0.4)*0.1*10*3,((7/2)-0.4)*0.1*10*3))</f>
        <v>0</v>
      </c>
      <c r="X54" s="574" t="s">
        <v>1411</v>
      </c>
      <c r="Y54" s="738"/>
      <c r="Z54" s="745"/>
      <c r="AA54" s="745"/>
      <c r="AB54" s="745"/>
      <c r="AC54" s="738"/>
      <c r="AD54" s="740"/>
      <c r="AE54" s="740"/>
      <c r="AF54" s="603"/>
      <c r="AG54" s="603"/>
      <c r="AH54" s="603"/>
    </row>
    <row r="55" spans="1:34" hidden="1">
      <c r="A55" s="733"/>
      <c r="B55" s="747">
        <v>3.4</v>
      </c>
      <c r="C55" s="730" t="s">
        <v>1552</v>
      </c>
      <c r="D55" s="730"/>
      <c r="G55" s="730"/>
      <c r="H55" s="730"/>
      <c r="I55" s="731"/>
      <c r="J55" s="707" t="s">
        <v>7</v>
      </c>
      <c r="K55" s="718">
        <v>0</v>
      </c>
      <c r="L55" s="718">
        <f>IF(K55=0,0,2659)</f>
        <v>0</v>
      </c>
      <c r="M55" s="718">
        <f>K55*L55</f>
        <v>0</v>
      </c>
      <c r="N55" s="719">
        <f>IF(K55=0,0,$N$172)</f>
        <v>0</v>
      </c>
      <c r="O55" s="718">
        <f>ROUND(L55*N55,2)</f>
        <v>0</v>
      </c>
      <c r="P55" s="718">
        <f>ROUNDDOWN(K55*O55,2)</f>
        <v>0</v>
      </c>
      <c r="Q55" s="718"/>
      <c r="R55" s="744"/>
      <c r="S55" s="738"/>
      <c r="T55" s="738"/>
      <c r="U55" s="738"/>
      <c r="V55" s="738"/>
      <c r="W55" s="738"/>
      <c r="X55" s="738"/>
      <c r="Y55" s="738"/>
      <c r="Z55" s="745"/>
      <c r="AA55" s="745"/>
      <c r="AB55" s="745"/>
      <c r="AC55" s="738"/>
      <c r="AD55" s="740"/>
      <c r="AE55" s="740"/>
      <c r="AF55" s="603"/>
      <c r="AG55" s="603"/>
      <c r="AH55" s="603"/>
    </row>
    <row r="56" spans="1:34" hidden="1">
      <c r="A56" s="733"/>
      <c r="B56" s="747"/>
      <c r="C56" s="730"/>
      <c r="D56" s="730"/>
      <c r="E56" s="730"/>
      <c r="F56" s="730"/>
      <c r="G56" s="730"/>
      <c r="H56" s="730"/>
      <c r="I56" s="731"/>
      <c r="J56" s="707"/>
      <c r="K56" s="718"/>
      <c r="L56" s="718"/>
      <c r="M56" s="718"/>
      <c r="N56" s="719"/>
      <c r="O56" s="718"/>
      <c r="P56" s="718"/>
      <c r="Q56" s="718"/>
      <c r="R56" s="744"/>
      <c r="S56" s="738"/>
      <c r="T56" s="738"/>
      <c r="U56" s="738"/>
      <c r="V56" s="738"/>
      <c r="W56" s="738"/>
      <c r="X56" s="738"/>
      <c r="Y56" s="738"/>
      <c r="Z56" s="745"/>
      <c r="AA56" s="745"/>
      <c r="AB56" s="745"/>
      <c r="AC56" s="738"/>
      <c r="AD56" s="740"/>
      <c r="AE56" s="740"/>
      <c r="AF56" s="603"/>
      <c r="AG56" s="603"/>
      <c r="AH56" s="603"/>
    </row>
    <row r="57" spans="1:34" hidden="1">
      <c r="A57" s="733">
        <v>4</v>
      </c>
      <c r="B57" s="765" t="s">
        <v>250</v>
      </c>
      <c r="C57" s="730"/>
      <c r="D57" s="730"/>
      <c r="E57" s="730"/>
      <c r="F57" s="730"/>
      <c r="G57" s="730"/>
      <c r="H57" s="730"/>
      <c r="I57" s="731"/>
      <c r="J57" s="733"/>
      <c r="K57" s="735"/>
      <c r="L57" s="736"/>
      <c r="M57" s="712"/>
      <c r="N57" s="719"/>
      <c r="O57" s="737"/>
      <c r="P57" s="712"/>
      <c r="Q57" s="712"/>
      <c r="R57" s="744"/>
      <c r="S57" s="738"/>
      <c r="T57" s="738"/>
      <c r="U57" s="738"/>
      <c r="V57" s="738"/>
      <c r="W57" s="738"/>
      <c r="X57" s="738"/>
      <c r="Y57" s="738"/>
      <c r="Z57" s="745"/>
      <c r="AA57" s="745"/>
      <c r="AB57" s="745"/>
      <c r="AC57" s="738"/>
      <c r="AD57" s="740"/>
      <c r="AE57" s="740"/>
      <c r="AF57" s="603"/>
      <c r="AG57" s="603"/>
      <c r="AH57" s="603"/>
    </row>
    <row r="58" spans="1:34" hidden="1">
      <c r="A58" s="733"/>
      <c r="B58" s="739">
        <v>4.0999999999999996</v>
      </c>
      <c r="C58" s="730" t="s">
        <v>453</v>
      </c>
      <c r="D58" s="730"/>
      <c r="E58" s="730"/>
      <c r="F58" s="730"/>
      <c r="G58" s="730"/>
      <c r="H58" s="730"/>
      <c r="I58" s="731"/>
      <c r="J58" s="733"/>
      <c r="K58" s="735"/>
      <c r="L58" s="736"/>
      <c r="M58" s="712"/>
      <c r="N58" s="719"/>
      <c r="O58" s="737"/>
      <c r="P58" s="712"/>
      <c r="Q58" s="712"/>
      <c r="R58" s="744"/>
      <c r="S58" s="738"/>
      <c r="T58" s="738"/>
      <c r="U58" s="738"/>
      <c r="V58" s="738"/>
      <c r="W58" s="738"/>
      <c r="X58" s="738"/>
      <c r="Y58" s="738"/>
      <c r="Z58" s="745"/>
      <c r="AA58" s="745"/>
      <c r="AB58" s="745"/>
      <c r="AC58" s="738"/>
      <c r="AD58" s="740"/>
      <c r="AE58" s="740"/>
      <c r="AF58" s="603"/>
      <c r="AG58" s="603"/>
      <c r="AH58" s="603"/>
    </row>
    <row r="59" spans="1:34" hidden="1">
      <c r="A59" s="733"/>
      <c r="B59" s="739"/>
      <c r="C59" s="730" t="s">
        <v>526</v>
      </c>
      <c r="D59" s="730" t="s">
        <v>457</v>
      </c>
      <c r="E59" s="730"/>
      <c r="F59" s="730"/>
      <c r="G59" s="730"/>
      <c r="H59" s="730"/>
      <c r="I59" s="731"/>
      <c r="J59" s="733"/>
      <c r="K59" s="735"/>
      <c r="L59" s="736"/>
      <c r="M59" s="712"/>
      <c r="N59" s="719"/>
      <c r="O59" s="737"/>
      <c r="P59" s="712"/>
      <c r="Q59" s="712"/>
      <c r="R59" s="738" t="s">
        <v>1149</v>
      </c>
      <c r="S59" s="744"/>
      <c r="T59" s="740" t="s">
        <v>1400</v>
      </c>
      <c r="U59" s="603"/>
      <c r="V59" s="744"/>
      <c r="W59" s="744"/>
      <c r="X59" s="738"/>
      <c r="Y59" s="738"/>
      <c r="Z59" s="745"/>
      <c r="AA59" s="745"/>
      <c r="AB59" s="745"/>
      <c r="AC59" s="738"/>
      <c r="AD59" s="740"/>
      <c r="AE59" s="740"/>
      <c r="AF59" s="603"/>
      <c r="AG59" s="603"/>
      <c r="AH59" s="603"/>
    </row>
    <row r="60" spans="1:34" hidden="1">
      <c r="A60" s="733"/>
      <c r="B60" s="739"/>
      <c r="C60" s="742" t="s">
        <v>1553</v>
      </c>
      <c r="D60" s="709" t="s">
        <v>2070</v>
      </c>
      <c r="E60" s="730"/>
      <c r="F60" s="730"/>
      <c r="G60" s="730"/>
      <c r="H60" s="730"/>
      <c r="I60" s="731"/>
      <c r="J60" s="707" t="s">
        <v>12</v>
      </c>
      <c r="K60" s="718">
        <f>R60+T60</f>
        <v>0</v>
      </c>
      <c r="L60" s="718">
        <f>IF(K60=0,0,ราคาต้นทุนงานทาง!J547)</f>
        <v>0</v>
      </c>
      <c r="M60" s="712"/>
      <c r="N60" s="719"/>
      <c r="O60" s="737"/>
      <c r="P60" s="712"/>
      <c r="Q60" s="712"/>
      <c r="R60" s="738">
        <v>0</v>
      </c>
      <c r="S60" s="603" t="s">
        <v>744</v>
      </c>
      <c r="T60" s="740"/>
      <c r="U60" s="603"/>
      <c r="V60" s="744"/>
      <c r="W60" s="744"/>
      <c r="X60" s="738"/>
      <c r="Y60" s="738"/>
      <c r="Z60" s="745"/>
      <c r="AA60" s="745"/>
      <c r="AB60" s="745"/>
      <c r="AC60" s="738"/>
      <c r="AD60" s="740"/>
      <c r="AE60" s="740"/>
      <c r="AF60" s="603"/>
      <c r="AG60" s="603"/>
      <c r="AH60" s="603"/>
    </row>
    <row r="61" spans="1:34" hidden="1">
      <c r="A61" s="733"/>
      <c r="B61" s="739"/>
      <c r="C61" s="742" t="s">
        <v>1553</v>
      </c>
      <c r="D61" s="709" t="s">
        <v>1094</v>
      </c>
      <c r="E61" s="709"/>
      <c r="F61" s="709"/>
      <c r="G61" s="709"/>
      <c r="H61" s="709"/>
      <c r="I61" s="710"/>
      <c r="J61" s="707" t="s">
        <v>12</v>
      </c>
      <c r="K61" s="718">
        <f>R61+T61</f>
        <v>0</v>
      </c>
      <c r="L61" s="718">
        <f>IF(K61=0,0,ราคาต้นทุนงานทาง!J532)</f>
        <v>0</v>
      </c>
      <c r="M61" s="718">
        <f>K61*L61</f>
        <v>0</v>
      </c>
      <c r="N61" s="719">
        <f>IF(K61=0,0,$N$172)</f>
        <v>0</v>
      </c>
      <c r="O61" s="718">
        <f>ROUND(L61*N61,2)</f>
        <v>0</v>
      </c>
      <c r="P61" s="718">
        <f t="shared" ref="P61:P70" si="5">ROUNDDOWN(K61*O61,2)</f>
        <v>0</v>
      </c>
      <c r="Q61" s="718"/>
      <c r="R61" s="720">
        <v>0</v>
      </c>
      <c r="S61" s="603" t="s">
        <v>744</v>
      </c>
      <c r="T61" s="720">
        <f>'ทางเชื่อม (AC)'!C31</f>
        <v>0</v>
      </c>
      <c r="U61" s="603" t="s">
        <v>744</v>
      </c>
      <c r="V61" s="744"/>
      <c r="W61" s="744"/>
      <c r="X61" s="738"/>
      <c r="Y61" s="738"/>
      <c r="Z61" s="745"/>
      <c r="AA61" s="745"/>
      <c r="AB61" s="745"/>
      <c r="AC61" s="738"/>
      <c r="AD61" s="740"/>
      <c r="AE61" s="740"/>
      <c r="AF61" s="603"/>
      <c r="AG61" s="603"/>
      <c r="AH61" s="603"/>
    </row>
    <row r="62" spans="1:34" hidden="1">
      <c r="A62" s="733"/>
      <c r="B62" s="739"/>
      <c r="C62" s="742" t="s">
        <v>1554</v>
      </c>
      <c r="D62" s="709" t="s">
        <v>1093</v>
      </c>
      <c r="E62" s="709"/>
      <c r="F62" s="709"/>
      <c r="G62" s="709"/>
      <c r="H62" s="709"/>
      <c r="I62" s="710"/>
      <c r="J62" s="707" t="s">
        <v>12</v>
      </c>
      <c r="K62" s="718">
        <f>R62+T62</f>
        <v>0</v>
      </c>
      <c r="L62" s="718">
        <f>IF(K62=0,0,ราคาต้นทุนงานทาง!J549)</f>
        <v>0</v>
      </c>
      <c r="M62" s="718">
        <f>K62*L62</f>
        <v>0</v>
      </c>
      <c r="N62" s="719">
        <f>IF(K62=0,0,$N$172)</f>
        <v>0</v>
      </c>
      <c r="O62" s="718">
        <f>ROUND(L62*N62,2)</f>
        <v>0</v>
      </c>
      <c r="P62" s="718">
        <f t="shared" si="5"/>
        <v>0</v>
      </c>
      <c r="Q62" s="718"/>
      <c r="R62" s="720">
        <v>0</v>
      </c>
      <c r="S62" s="603" t="s">
        <v>744</v>
      </c>
      <c r="T62" s="720">
        <f>'ทางเชื่อม (AC)'!C32</f>
        <v>0</v>
      </c>
      <c r="U62" s="603" t="s">
        <v>744</v>
      </c>
      <c r="V62" s="744"/>
      <c r="W62" s="744"/>
      <c r="X62" s="738"/>
      <c r="Y62" s="738"/>
      <c r="Z62" s="745"/>
      <c r="AA62" s="745"/>
      <c r="AB62" s="745"/>
      <c r="AC62" s="738"/>
      <c r="AD62" s="740"/>
      <c r="AE62" s="740"/>
      <c r="AF62" s="603"/>
      <c r="AG62" s="603"/>
      <c r="AH62" s="603"/>
    </row>
    <row r="63" spans="1:34" hidden="1">
      <c r="A63" s="733"/>
      <c r="B63" s="739"/>
      <c r="C63" s="742" t="s">
        <v>1555</v>
      </c>
      <c r="D63" s="709" t="s">
        <v>1092</v>
      </c>
      <c r="E63" s="709"/>
      <c r="F63" s="709"/>
      <c r="G63" s="709"/>
      <c r="H63" s="709"/>
      <c r="I63" s="710"/>
      <c r="J63" s="707" t="s">
        <v>17</v>
      </c>
      <c r="K63" s="718">
        <f>R63+T63</f>
        <v>0</v>
      </c>
      <c r="L63" s="718">
        <f>IF(K63=0,0,ราคาต้นทุนงานทาง!J566)</f>
        <v>0</v>
      </c>
      <c r="M63" s="718">
        <f>K63*L63</f>
        <v>0</v>
      </c>
      <c r="N63" s="719">
        <f>IF(K63=0,0,$N$172)</f>
        <v>0</v>
      </c>
      <c r="O63" s="718">
        <f>ROUND(L63*N63,2)</f>
        <v>0</v>
      </c>
      <c r="P63" s="718">
        <f t="shared" si="5"/>
        <v>0</v>
      </c>
      <c r="Q63" s="718"/>
      <c r="R63" s="720">
        <v>0</v>
      </c>
      <c r="S63" s="603" t="s">
        <v>744</v>
      </c>
      <c r="T63" s="720">
        <f>'ทางเชื่อม (AC)'!C33</f>
        <v>0</v>
      </c>
      <c r="U63" s="603" t="s">
        <v>744</v>
      </c>
      <c r="V63" s="744"/>
      <c r="W63" s="744"/>
      <c r="X63" s="738"/>
      <c r="Y63" s="738"/>
      <c r="Z63" s="745"/>
      <c r="AA63" s="745"/>
      <c r="AB63" s="745"/>
      <c r="AC63" s="738"/>
      <c r="AD63" s="740"/>
      <c r="AE63" s="740"/>
      <c r="AF63" s="603"/>
      <c r="AG63" s="603"/>
      <c r="AH63" s="603"/>
    </row>
    <row r="64" spans="1:34" hidden="1">
      <c r="A64" s="733"/>
      <c r="B64" s="739"/>
      <c r="C64" s="742" t="s">
        <v>1556</v>
      </c>
      <c r="D64" s="709" t="s">
        <v>2087</v>
      </c>
      <c r="E64" s="709"/>
      <c r="F64" s="709"/>
      <c r="G64" s="709"/>
      <c r="H64" s="709"/>
      <c r="I64" s="710"/>
      <c r="J64" s="707" t="s">
        <v>12</v>
      </c>
      <c r="K64" s="718">
        <v>0</v>
      </c>
      <c r="L64" s="718">
        <f>IF(K64=0,0,ราคาต้นทุนงานทาง!J583)+ราคาต้นทุนงานทาง!K878</f>
        <v>533</v>
      </c>
      <c r="M64" s="718">
        <f>K64*L64</f>
        <v>0</v>
      </c>
      <c r="N64" s="719">
        <f>IF(K64=0,0,$N$172)</f>
        <v>0</v>
      </c>
      <c r="O64" s="718">
        <f>ROUND(L64*N64,2)</f>
        <v>0</v>
      </c>
      <c r="P64" s="718">
        <f>ROUNDDOWN(K64*O64,2)</f>
        <v>0</v>
      </c>
      <c r="Q64" s="718"/>
      <c r="R64" s="720">
        <v>1</v>
      </c>
      <c r="S64" s="603" t="s">
        <v>744</v>
      </c>
      <c r="T64" s="720">
        <f>'ทางเชื่อม (AC)'!C34</f>
        <v>0</v>
      </c>
      <c r="U64" s="603" t="s">
        <v>744</v>
      </c>
      <c r="V64" s="744"/>
      <c r="W64" s="744"/>
      <c r="X64" s="738"/>
      <c r="Y64" s="738"/>
      <c r="Z64" s="745"/>
      <c r="AA64" s="745"/>
      <c r="AB64" s="745"/>
      <c r="AC64" s="738"/>
      <c r="AD64" s="740"/>
      <c r="AE64" s="740"/>
      <c r="AF64" s="603"/>
      <c r="AG64" s="603"/>
      <c r="AH64" s="603"/>
    </row>
    <row r="65" spans="1:34" hidden="1">
      <c r="A65" s="733"/>
      <c r="B65" s="739"/>
      <c r="C65" s="742" t="s">
        <v>1557</v>
      </c>
      <c r="D65" s="709" t="s">
        <v>1090</v>
      </c>
      <c r="E65" s="709"/>
      <c r="F65" s="709"/>
      <c r="G65" s="709"/>
      <c r="H65" s="709"/>
      <c r="I65" s="710"/>
      <c r="J65" s="707" t="s">
        <v>12</v>
      </c>
      <c r="K65" s="718">
        <f>R65+T65</f>
        <v>0</v>
      </c>
      <c r="L65" s="718">
        <f>IF(K65=0,0,ราคาต้นทุนงานทาง!J600)</f>
        <v>0</v>
      </c>
      <c r="M65" s="718">
        <f>K65*L65</f>
        <v>0</v>
      </c>
      <c r="N65" s="719">
        <f>IF(K65=0,0,$N$172)</f>
        <v>0</v>
      </c>
      <c r="O65" s="718">
        <f>ROUND(L65*N65,2)</f>
        <v>0</v>
      </c>
      <c r="P65" s="718">
        <f t="shared" si="5"/>
        <v>0</v>
      </c>
      <c r="Q65" s="718"/>
      <c r="R65" s="720">
        <v>0</v>
      </c>
      <c r="S65" s="603" t="s">
        <v>744</v>
      </c>
      <c r="T65" s="720">
        <f>'ทางเชื่อม (AC)'!C35</f>
        <v>0</v>
      </c>
      <c r="U65" s="603" t="s">
        <v>744</v>
      </c>
      <c r="V65" s="744"/>
      <c r="W65" s="744"/>
      <c r="X65" s="738"/>
      <c r="Y65" s="738"/>
      <c r="Z65" s="745"/>
      <c r="AA65" s="745"/>
      <c r="AB65" s="745"/>
      <c r="AC65" s="738"/>
      <c r="AD65" s="740"/>
      <c r="AE65" s="740"/>
      <c r="AF65" s="603"/>
      <c r="AG65" s="603"/>
      <c r="AH65" s="603"/>
    </row>
    <row r="66" spans="1:34" hidden="1">
      <c r="A66" s="733"/>
      <c r="B66" s="739"/>
      <c r="C66" s="742" t="s">
        <v>1557</v>
      </c>
      <c r="D66" s="709" t="s">
        <v>2071</v>
      </c>
      <c r="E66" s="709"/>
      <c r="F66" s="709"/>
      <c r="G66" s="709"/>
      <c r="H66" s="709"/>
      <c r="I66" s="710"/>
      <c r="J66" s="707" t="s">
        <v>17</v>
      </c>
      <c r="K66" s="718">
        <f>R66+T66</f>
        <v>0</v>
      </c>
      <c r="L66" s="718">
        <f>IF(K66=0,0,ราคาต้นทุนงานทาง!J553)</f>
        <v>0</v>
      </c>
      <c r="M66" s="718"/>
      <c r="N66" s="719"/>
      <c r="O66" s="718"/>
      <c r="P66" s="718"/>
      <c r="Q66" s="718"/>
      <c r="R66" s="720">
        <v>0</v>
      </c>
      <c r="S66" s="603"/>
      <c r="T66" s="720"/>
      <c r="U66" s="603"/>
      <c r="V66" s="744"/>
      <c r="W66" s="744"/>
      <c r="X66" s="738"/>
      <c r="Y66" s="738"/>
      <c r="Z66" s="745"/>
      <c r="AA66" s="745"/>
      <c r="AB66" s="745"/>
      <c r="AC66" s="738"/>
      <c r="AD66" s="740"/>
      <c r="AE66" s="740"/>
      <c r="AF66" s="603"/>
      <c r="AG66" s="603"/>
      <c r="AH66" s="603"/>
    </row>
    <row r="67" spans="1:34" hidden="1">
      <c r="A67" s="733"/>
      <c r="B67" s="739"/>
      <c r="C67" s="759" t="s">
        <v>645</v>
      </c>
      <c r="D67" s="709" t="s">
        <v>639</v>
      </c>
      <c r="E67" s="709"/>
      <c r="F67" s="709"/>
      <c r="G67" s="709"/>
      <c r="H67" s="709"/>
      <c r="I67" s="710"/>
      <c r="J67" s="733"/>
      <c r="K67" s="735"/>
      <c r="L67" s="718"/>
      <c r="M67" s="712"/>
      <c r="N67" s="719"/>
      <c r="O67" s="737"/>
      <c r="P67" s="718"/>
      <c r="Q67" s="712"/>
      <c r="R67" s="744"/>
      <c r="S67" s="744"/>
      <c r="T67" s="744"/>
      <c r="U67" s="744"/>
      <c r="V67" s="744"/>
      <c r="W67" s="744"/>
      <c r="X67" s="744"/>
      <c r="Y67" s="744"/>
      <c r="Z67" s="745"/>
      <c r="AA67" s="745"/>
      <c r="AB67" s="745"/>
      <c r="AC67" s="744"/>
      <c r="AD67" s="603"/>
      <c r="AE67" s="603"/>
      <c r="AF67" s="603"/>
      <c r="AG67" s="603"/>
      <c r="AH67" s="603"/>
    </row>
    <row r="68" spans="1:34" hidden="1">
      <c r="A68" s="733"/>
      <c r="B68" s="739"/>
      <c r="C68" s="742" t="s">
        <v>1558</v>
      </c>
      <c r="D68" s="709" t="s">
        <v>1102</v>
      </c>
      <c r="E68" s="709"/>
      <c r="F68" s="709"/>
      <c r="G68" s="1444" t="s">
        <v>1098</v>
      </c>
      <c r="I68" s="710"/>
      <c r="J68" s="733" t="s">
        <v>12</v>
      </c>
      <c r="K68" s="718">
        <v>0</v>
      </c>
      <c r="L68" s="718">
        <f>IF(K68=0,0,ราคาต้นทุนงานทาง!K633)</f>
        <v>0</v>
      </c>
      <c r="M68" s="718">
        <f>K68*L68</f>
        <v>0</v>
      </c>
      <c r="N68" s="719">
        <f>IF(K68=0,0,$N$172)</f>
        <v>0</v>
      </c>
      <c r="O68" s="718">
        <f>ROUND(L68*N68,2)</f>
        <v>0</v>
      </c>
      <c r="P68" s="718">
        <f t="shared" si="5"/>
        <v>0</v>
      </c>
      <c r="Q68" s="718"/>
      <c r="R68" s="744"/>
      <c r="S68" s="744"/>
      <c r="T68" s="744"/>
      <c r="U68" s="744"/>
      <c r="V68" s="744"/>
      <c r="W68" s="744"/>
      <c r="X68" s="738"/>
      <c r="Y68" s="738"/>
      <c r="Z68" s="745"/>
      <c r="AA68" s="745"/>
      <c r="AB68" s="745"/>
      <c r="AC68" s="738"/>
      <c r="AD68" s="603"/>
      <c r="AE68" s="603"/>
      <c r="AF68" s="603"/>
      <c r="AG68" s="603"/>
      <c r="AH68" s="603"/>
    </row>
    <row r="69" spans="1:34" hidden="1">
      <c r="A69" s="733"/>
      <c r="B69" s="739"/>
      <c r="C69" s="742" t="s">
        <v>1559</v>
      </c>
      <c r="D69" s="709" t="s">
        <v>1102</v>
      </c>
      <c r="E69" s="709"/>
      <c r="F69" s="709"/>
      <c r="G69" s="1444" t="s">
        <v>1098</v>
      </c>
      <c r="I69" s="710"/>
      <c r="J69" s="733" t="s">
        <v>12</v>
      </c>
      <c r="K69" s="718">
        <v>0</v>
      </c>
      <c r="L69" s="718">
        <f>IF(K69=0,0,ราคาต้นทุนงานทาง!K645)</f>
        <v>0</v>
      </c>
      <c r="M69" s="718">
        <f>K69*L69</f>
        <v>0</v>
      </c>
      <c r="N69" s="719">
        <f>IF(K69=0,0,$N$172)</f>
        <v>0</v>
      </c>
      <c r="O69" s="718">
        <f>ROUND(L69*N69,2)</f>
        <v>0</v>
      </c>
      <c r="P69" s="718">
        <f t="shared" si="5"/>
        <v>0</v>
      </c>
      <c r="Q69" s="718"/>
      <c r="R69" s="744"/>
      <c r="S69" s="744"/>
      <c r="T69" s="744"/>
      <c r="U69" s="744"/>
      <c r="V69" s="744"/>
      <c r="W69" s="744"/>
      <c r="X69" s="738"/>
      <c r="Y69" s="738"/>
      <c r="Z69" s="745"/>
      <c r="AA69" s="745"/>
      <c r="AB69" s="745"/>
      <c r="AC69" s="738"/>
      <c r="AD69" s="603"/>
      <c r="AE69" s="603"/>
      <c r="AF69" s="603"/>
      <c r="AG69" s="603"/>
      <c r="AH69" s="603"/>
    </row>
    <row r="70" spans="1:34" hidden="1">
      <c r="A70" s="733"/>
      <c r="B70" s="739"/>
      <c r="C70" s="742" t="s">
        <v>1560</v>
      </c>
      <c r="D70" s="709" t="s">
        <v>1102</v>
      </c>
      <c r="E70" s="709"/>
      <c r="F70" s="709"/>
      <c r="G70" s="1444" t="s">
        <v>1098</v>
      </c>
      <c r="I70" s="710"/>
      <c r="J70" s="733" t="s">
        <v>12</v>
      </c>
      <c r="K70" s="718">
        <v>0</v>
      </c>
      <c r="L70" s="718">
        <f>IF(K70=0,0,ราคาต้นทุนงานทาง!K657)</f>
        <v>0</v>
      </c>
      <c r="M70" s="718">
        <f>K70*L70</f>
        <v>0</v>
      </c>
      <c r="N70" s="719">
        <f>IF(K70=0,0,$N$172)</f>
        <v>0</v>
      </c>
      <c r="O70" s="718">
        <f>ROUND(L70*N70,2)</f>
        <v>0</v>
      </c>
      <c r="P70" s="718">
        <f t="shared" si="5"/>
        <v>0</v>
      </c>
      <c r="Q70" s="718"/>
      <c r="R70" s="744"/>
      <c r="S70" s="744"/>
      <c r="T70" s="744"/>
      <c r="U70" s="744"/>
      <c r="V70" s="744"/>
      <c r="W70" s="744"/>
      <c r="X70" s="738"/>
      <c r="Y70" s="738"/>
      <c r="Z70" s="745"/>
      <c r="AA70" s="745"/>
      <c r="AB70" s="745"/>
      <c r="AC70" s="738"/>
      <c r="AD70" s="603"/>
      <c r="AE70" s="603"/>
      <c r="AF70" s="603"/>
      <c r="AG70" s="603"/>
      <c r="AH70" s="603"/>
    </row>
    <row r="71" spans="1:34" hidden="1">
      <c r="A71" s="733"/>
      <c r="B71" s="739"/>
      <c r="C71" s="759" t="s">
        <v>1561</v>
      </c>
      <c r="D71" s="709" t="s">
        <v>648</v>
      </c>
      <c r="E71" s="709"/>
      <c r="F71" s="709"/>
      <c r="G71" s="709"/>
      <c r="H71" s="709"/>
      <c r="I71" s="710"/>
      <c r="J71" s="733"/>
      <c r="K71" s="735"/>
      <c r="L71" s="736"/>
      <c r="M71" s="712"/>
      <c r="N71" s="719"/>
      <c r="O71" s="737"/>
      <c r="P71" s="712"/>
      <c r="Q71" s="712"/>
      <c r="R71" s="744"/>
      <c r="S71" s="744"/>
      <c r="T71" s="744"/>
      <c r="U71" s="744"/>
      <c r="V71" s="744"/>
      <c r="W71" s="744"/>
      <c r="X71" s="738"/>
      <c r="Y71" s="738"/>
      <c r="Z71" s="745"/>
      <c r="AA71" s="745"/>
      <c r="AB71" s="745"/>
      <c r="AC71" s="738"/>
      <c r="AD71" s="603"/>
      <c r="AE71" s="603"/>
      <c r="AF71" s="603"/>
      <c r="AG71" s="603"/>
      <c r="AH71" s="603"/>
    </row>
    <row r="72" spans="1:34" hidden="1">
      <c r="A72" s="733"/>
      <c r="B72" s="739"/>
      <c r="C72" s="742" t="s">
        <v>1562</v>
      </c>
      <c r="D72" s="709" t="s">
        <v>2008</v>
      </c>
      <c r="E72" s="709"/>
      <c r="F72" s="709"/>
      <c r="G72" s="709"/>
      <c r="H72" s="709"/>
      <c r="I72" s="710"/>
      <c r="J72" s="707" t="s">
        <v>17</v>
      </c>
      <c r="K72" s="718">
        <v>0</v>
      </c>
      <c r="L72" s="718"/>
      <c r="M72" s="718">
        <f>K72*L72</f>
        <v>0</v>
      </c>
      <c r="N72" s="719">
        <f>IF(K72=0,0,$N$172)</f>
        <v>0</v>
      </c>
      <c r="O72" s="718">
        <f>ROUND(L72*N72,2)</f>
        <v>0</v>
      </c>
      <c r="P72" s="718">
        <f>ROUNDDOWN(K72*O72,2)</f>
        <v>0</v>
      </c>
      <c r="Q72" s="718"/>
      <c r="R72" s="744"/>
      <c r="S72" s="744"/>
      <c r="T72" s="744"/>
      <c r="U72" s="744"/>
      <c r="V72" s="744"/>
      <c r="W72" s="744"/>
      <c r="X72" s="738"/>
      <c r="Y72" s="738"/>
      <c r="Z72" s="745"/>
      <c r="AA72" s="745"/>
      <c r="AB72" s="745"/>
      <c r="AC72" s="738"/>
      <c r="AD72" s="603"/>
      <c r="AE72" s="603"/>
      <c r="AF72" s="603"/>
      <c r="AG72" s="603"/>
      <c r="AH72" s="603"/>
    </row>
    <row r="73" spans="1:34" hidden="1">
      <c r="A73" s="733"/>
      <c r="B73" s="739"/>
      <c r="C73" s="742" t="s">
        <v>1563</v>
      </c>
      <c r="D73" s="709" t="s">
        <v>1968</v>
      </c>
      <c r="E73" s="709"/>
      <c r="F73" s="709"/>
      <c r="G73" s="709"/>
      <c r="H73" s="766" t="s">
        <v>1660</v>
      </c>
      <c r="I73" s="710"/>
      <c r="J73" s="707" t="s">
        <v>17</v>
      </c>
      <c r="K73" s="718">
        <v>0</v>
      </c>
      <c r="L73" s="718">
        <f>IF(K73=0,0,ราคาต้นทุนงานทาง!K708)</f>
        <v>0</v>
      </c>
      <c r="M73" s="718">
        <f>ROUNDDOWN(K73*L73,2)</f>
        <v>0</v>
      </c>
      <c r="N73" s="719">
        <f>IF(K73=0,0,$N$172)</f>
        <v>0</v>
      </c>
      <c r="O73" s="718">
        <f>ROUNDDOWN(L73*N73,0)</f>
        <v>0</v>
      </c>
      <c r="P73" s="718">
        <f>ROUNDDOWN(K73*O73,0)</f>
        <v>0</v>
      </c>
      <c r="Q73" s="718"/>
      <c r="R73" s="744"/>
      <c r="S73" s="744"/>
      <c r="T73" s="744"/>
      <c r="U73" s="744"/>
      <c r="V73" s="744"/>
      <c r="W73" s="744"/>
      <c r="X73" s="738"/>
      <c r="Y73" s="738"/>
      <c r="Z73" s="745"/>
      <c r="AA73" s="745"/>
      <c r="AB73" s="745"/>
      <c r="AC73" s="738"/>
      <c r="AD73" s="603"/>
      <c r="AE73" s="603"/>
      <c r="AF73" s="603"/>
      <c r="AG73" s="603"/>
      <c r="AH73" s="603"/>
    </row>
    <row r="74" spans="1:34" hidden="1">
      <c r="A74" s="733"/>
      <c r="B74" s="739"/>
      <c r="C74" s="742" t="s">
        <v>1564</v>
      </c>
      <c r="D74" s="709" t="s">
        <v>649</v>
      </c>
      <c r="E74" s="709"/>
      <c r="F74" s="709"/>
      <c r="G74" s="709"/>
      <c r="H74" s="709"/>
      <c r="I74" s="710"/>
      <c r="J74" s="707" t="s">
        <v>17</v>
      </c>
      <c r="K74" s="718">
        <v>0</v>
      </c>
      <c r="L74" s="718"/>
      <c r="M74" s="718">
        <f>K74*L74</f>
        <v>0</v>
      </c>
      <c r="N74" s="719">
        <f>IF(K74=0,0,$N$172)</f>
        <v>0</v>
      </c>
      <c r="O74" s="718">
        <f>ROUND(L74*N74,2)</f>
        <v>0</v>
      </c>
      <c r="P74" s="718">
        <f>ROUNDDOWN(K74*O74,2)</f>
        <v>0</v>
      </c>
      <c r="Q74" s="718"/>
      <c r="R74" s="744"/>
      <c r="S74" s="744"/>
      <c r="T74" s="744"/>
      <c r="U74" s="744"/>
      <c r="V74" s="744"/>
      <c r="W74" s="744"/>
      <c r="X74" s="738"/>
      <c r="Y74" s="738"/>
      <c r="Z74" s="745"/>
      <c r="AA74" s="745"/>
      <c r="AB74" s="745"/>
      <c r="AC74" s="738"/>
      <c r="AD74" s="603"/>
      <c r="AE74" s="603"/>
      <c r="AF74" s="603"/>
      <c r="AG74" s="603"/>
      <c r="AH74" s="603"/>
    </row>
    <row r="75" spans="1:34" hidden="1">
      <c r="A75" s="733"/>
      <c r="B75" s="739"/>
      <c r="C75" s="759" t="s">
        <v>1565</v>
      </c>
      <c r="D75" s="709" t="s">
        <v>651</v>
      </c>
      <c r="E75" s="709"/>
      <c r="F75" s="709"/>
      <c r="G75" s="709"/>
      <c r="H75" s="709"/>
      <c r="I75" s="710"/>
      <c r="J75" s="733"/>
      <c r="K75" s="735"/>
      <c r="L75" s="736"/>
      <c r="M75" s="712"/>
      <c r="N75" s="719"/>
      <c r="O75" s="737"/>
      <c r="P75" s="712"/>
      <c r="Q75" s="712"/>
      <c r="R75" s="744"/>
      <c r="S75" s="744"/>
      <c r="T75" s="744"/>
      <c r="U75" s="744"/>
      <c r="V75" s="744"/>
      <c r="W75" s="744"/>
      <c r="X75" s="738"/>
      <c r="Y75" s="738"/>
      <c r="Z75" s="745"/>
      <c r="AA75" s="745"/>
      <c r="AB75" s="745"/>
      <c r="AC75" s="738"/>
      <c r="AD75" s="603"/>
      <c r="AE75" s="603"/>
      <c r="AF75" s="603"/>
      <c r="AG75" s="603"/>
      <c r="AH75" s="603"/>
    </row>
    <row r="76" spans="1:34" hidden="1">
      <c r="A76" s="733"/>
      <c r="B76" s="739"/>
      <c r="C76" s="742" t="s">
        <v>1566</v>
      </c>
      <c r="D76" s="709" t="s">
        <v>1829</v>
      </c>
      <c r="E76" s="709"/>
      <c r="F76" s="709"/>
      <c r="G76" s="709"/>
      <c r="H76" s="709"/>
      <c r="I76" s="710"/>
      <c r="J76" s="733" t="s">
        <v>652</v>
      </c>
      <c r="K76" s="718">
        <v>0</v>
      </c>
      <c r="L76" s="718"/>
      <c r="M76" s="718">
        <f>K76*L76</f>
        <v>0</v>
      </c>
      <c r="N76" s="719">
        <f>IF(K76=0,0,$N$172)</f>
        <v>0</v>
      </c>
      <c r="O76" s="718">
        <f>ROUND(L76*N76,2)</f>
        <v>0</v>
      </c>
      <c r="P76" s="718">
        <f>ROUNDDOWN(K76*O76,2)</f>
        <v>0</v>
      </c>
      <c r="Q76" s="718"/>
      <c r="R76" s="744"/>
      <c r="S76" s="744"/>
      <c r="T76" s="744"/>
      <c r="U76" s="744"/>
      <c r="V76" s="744"/>
      <c r="W76" s="744"/>
      <c r="X76" s="738"/>
      <c r="Y76" s="738"/>
      <c r="Z76" s="745"/>
      <c r="AA76" s="745"/>
      <c r="AB76" s="745"/>
      <c r="AC76" s="738"/>
      <c r="AD76" s="603"/>
      <c r="AE76" s="603"/>
      <c r="AF76" s="603"/>
      <c r="AG76" s="603"/>
      <c r="AH76" s="603"/>
    </row>
    <row r="77" spans="1:34" hidden="1">
      <c r="A77" s="733"/>
      <c r="B77" s="739"/>
      <c r="C77" s="742" t="s">
        <v>1567</v>
      </c>
      <c r="D77" s="709" t="s">
        <v>1830</v>
      </c>
      <c r="E77" s="709"/>
      <c r="F77" s="709"/>
      <c r="G77" s="709"/>
      <c r="H77" s="709"/>
      <c r="I77" s="710"/>
      <c r="J77" s="733" t="s">
        <v>652</v>
      </c>
      <c r="K77" s="718">
        <v>0</v>
      </c>
      <c r="L77" s="718"/>
      <c r="M77" s="718">
        <f>K77*L77</f>
        <v>0</v>
      </c>
      <c r="N77" s="719">
        <f>IF(K77=0,0,$N$172)</f>
        <v>0</v>
      </c>
      <c r="O77" s="718">
        <f>ROUND(L77*N77,2)</f>
        <v>0</v>
      </c>
      <c r="P77" s="718">
        <f>ROUNDDOWN(K77*O77,2)</f>
        <v>0</v>
      </c>
      <c r="Q77" s="718"/>
      <c r="R77" s="744"/>
      <c r="S77" s="744"/>
      <c r="T77" s="744"/>
      <c r="U77" s="744"/>
      <c r="V77" s="744"/>
      <c r="W77" s="744"/>
      <c r="X77" s="738"/>
      <c r="Y77" s="738"/>
      <c r="Z77" s="745"/>
      <c r="AA77" s="745"/>
      <c r="AB77" s="745"/>
      <c r="AC77" s="738"/>
      <c r="AD77" s="603"/>
      <c r="AE77" s="603"/>
      <c r="AF77" s="603"/>
      <c r="AG77" s="603"/>
      <c r="AH77" s="603"/>
    </row>
    <row r="78" spans="1:34" hidden="1">
      <c r="A78" s="733"/>
      <c r="B78" s="739"/>
      <c r="C78" s="759" t="s">
        <v>1568</v>
      </c>
      <c r="D78" s="709" t="s">
        <v>653</v>
      </c>
      <c r="E78" s="709"/>
      <c r="F78" s="709"/>
      <c r="G78" s="709"/>
      <c r="H78" s="709"/>
      <c r="I78" s="710"/>
      <c r="J78" s="733"/>
      <c r="K78" s="735"/>
      <c r="L78" s="736"/>
      <c r="M78" s="712"/>
      <c r="N78" s="719"/>
      <c r="O78" s="737"/>
      <c r="P78" s="712"/>
      <c r="Q78" s="712"/>
      <c r="R78" s="744"/>
      <c r="S78" s="744"/>
      <c r="T78" s="744"/>
      <c r="U78" s="744"/>
      <c r="V78" s="744"/>
      <c r="W78" s="744"/>
      <c r="X78" s="738"/>
      <c r="Y78" s="738"/>
      <c r="Z78" s="745"/>
      <c r="AA78" s="745"/>
      <c r="AB78" s="745"/>
      <c r="AC78" s="738"/>
      <c r="AD78" s="603"/>
      <c r="AE78" s="603"/>
      <c r="AF78" s="603"/>
      <c r="AG78" s="603"/>
      <c r="AH78" s="603"/>
    </row>
    <row r="79" spans="1:34" hidden="1">
      <c r="A79" s="733"/>
      <c r="B79" s="739">
        <v>4.2</v>
      </c>
      <c r="C79" s="759" t="s">
        <v>267</v>
      </c>
      <c r="D79" s="709"/>
      <c r="E79" s="709"/>
      <c r="F79" s="709"/>
      <c r="G79" s="709"/>
      <c r="H79" s="709"/>
      <c r="I79" s="710"/>
      <c r="J79" s="733"/>
      <c r="K79" s="735"/>
      <c r="L79" s="736"/>
      <c r="M79" s="712"/>
      <c r="N79" s="719"/>
      <c r="O79" s="737"/>
      <c r="P79" s="712"/>
      <c r="Q79" s="712"/>
      <c r="R79" s="744"/>
      <c r="S79" s="744"/>
      <c r="T79" s="744"/>
      <c r="U79" s="744"/>
      <c r="V79" s="744"/>
      <c r="W79" s="744"/>
      <c r="X79" s="738"/>
      <c r="Y79" s="738"/>
      <c r="Z79" s="745"/>
      <c r="AA79" s="745"/>
      <c r="AB79" s="745"/>
      <c r="AC79" s="738"/>
      <c r="AD79" s="603"/>
      <c r="AE79" s="603"/>
      <c r="AF79" s="603"/>
      <c r="AG79" s="603"/>
      <c r="AH79" s="603"/>
    </row>
    <row r="80" spans="1:34" hidden="1">
      <c r="A80" s="733"/>
      <c r="B80" s="739"/>
      <c r="C80" s="759" t="s">
        <v>1569</v>
      </c>
      <c r="D80" s="709" t="s">
        <v>654</v>
      </c>
      <c r="E80" s="709"/>
      <c r="F80" s="709"/>
      <c r="G80" s="709"/>
      <c r="H80" s="709"/>
      <c r="I80" s="710"/>
      <c r="J80" s="733" t="s">
        <v>7</v>
      </c>
      <c r="K80" s="718">
        <v>0</v>
      </c>
      <c r="L80" s="718"/>
      <c r="M80" s="718">
        <f>K80*L80</f>
        <v>0</v>
      </c>
      <c r="N80" s="719">
        <f>IF(K80=0,0,$N$172)</f>
        <v>0</v>
      </c>
      <c r="O80" s="718">
        <f>ROUND(L80*N80,2)</f>
        <v>0</v>
      </c>
      <c r="P80" s="718">
        <f>ROUNDDOWN(K80*O80,2)</f>
        <v>0</v>
      </c>
      <c r="Q80" s="718"/>
      <c r="R80" s="744"/>
      <c r="S80" s="744"/>
      <c r="T80" s="744"/>
      <c r="U80" s="744"/>
      <c r="V80" s="744"/>
      <c r="W80" s="744"/>
      <c r="X80" s="738"/>
      <c r="Y80" s="738"/>
      <c r="Z80" s="745"/>
      <c r="AA80" s="745"/>
      <c r="AB80" s="745"/>
      <c r="AC80" s="738"/>
      <c r="AD80" s="603"/>
      <c r="AE80" s="603"/>
      <c r="AF80" s="603"/>
      <c r="AG80" s="603"/>
      <c r="AH80" s="603"/>
    </row>
    <row r="81" spans="1:34" hidden="1">
      <c r="A81" s="733"/>
      <c r="B81" s="739"/>
      <c r="C81" s="759" t="s">
        <v>1570</v>
      </c>
      <c r="D81" s="709" t="s">
        <v>656</v>
      </c>
      <c r="E81" s="709"/>
      <c r="F81" s="709"/>
      <c r="G81" s="709"/>
      <c r="H81" s="709"/>
      <c r="I81" s="710"/>
      <c r="J81" s="733" t="s">
        <v>7</v>
      </c>
      <c r="K81" s="718">
        <v>0</v>
      </c>
      <c r="L81" s="718"/>
      <c r="M81" s="718">
        <f>K81*L81</f>
        <v>0</v>
      </c>
      <c r="N81" s="719">
        <f>IF(K81=0,0,$N$172)</f>
        <v>0</v>
      </c>
      <c r="O81" s="718">
        <f>ROUND(L81*N81,2)</f>
        <v>0</v>
      </c>
      <c r="P81" s="718">
        <f>ROUNDDOWN(K81*O81,2)</f>
        <v>0</v>
      </c>
      <c r="Q81" s="718"/>
      <c r="R81" s="744"/>
      <c r="S81" s="744"/>
      <c r="T81" s="744"/>
      <c r="U81" s="744"/>
      <c r="V81" s="744"/>
      <c r="W81" s="744"/>
      <c r="X81" s="738"/>
      <c r="Y81" s="738"/>
      <c r="Z81" s="745"/>
      <c r="AA81" s="745"/>
      <c r="AB81" s="745"/>
      <c r="AC81" s="738"/>
      <c r="AD81" s="603"/>
      <c r="AE81" s="603"/>
      <c r="AF81" s="603"/>
      <c r="AG81" s="603"/>
      <c r="AH81" s="603"/>
    </row>
    <row r="82" spans="1:34" hidden="1">
      <c r="A82" s="733"/>
      <c r="B82" s="739"/>
      <c r="C82" s="759" t="s">
        <v>1571</v>
      </c>
      <c r="D82" s="709" t="s">
        <v>658</v>
      </c>
      <c r="E82" s="709"/>
      <c r="F82" s="709"/>
      <c r="G82" s="709"/>
      <c r="H82" s="709"/>
      <c r="I82" s="710"/>
      <c r="J82" s="733" t="s">
        <v>7</v>
      </c>
      <c r="K82" s="718">
        <v>0</v>
      </c>
      <c r="L82" s="718"/>
      <c r="M82" s="718">
        <f>K82*L82</f>
        <v>0</v>
      </c>
      <c r="N82" s="719">
        <f>IF(K82=0,0,$N$172)</f>
        <v>0</v>
      </c>
      <c r="O82" s="718">
        <f>ROUND(L82*N82,2)</f>
        <v>0</v>
      </c>
      <c r="P82" s="718">
        <f>ROUNDDOWN(K82*O82,2)</f>
        <v>0</v>
      </c>
      <c r="Q82" s="718"/>
      <c r="R82" s="744"/>
      <c r="S82" s="744"/>
      <c r="T82" s="744"/>
      <c r="U82" s="744"/>
      <c r="V82" s="744"/>
      <c r="W82" s="744"/>
      <c r="X82" s="738"/>
      <c r="Y82" s="738"/>
      <c r="Z82" s="745"/>
      <c r="AA82" s="745"/>
      <c r="AB82" s="745"/>
      <c r="AC82" s="738"/>
      <c r="AD82" s="603"/>
      <c r="AE82" s="603"/>
      <c r="AF82" s="603"/>
      <c r="AG82" s="603"/>
      <c r="AH82" s="603"/>
    </row>
    <row r="83" spans="1:34" hidden="1">
      <c r="A83" s="733"/>
      <c r="B83" s="739"/>
      <c r="C83" s="759"/>
      <c r="D83" s="709"/>
      <c r="E83" s="709"/>
      <c r="F83" s="709"/>
      <c r="G83" s="709"/>
      <c r="H83" s="709"/>
      <c r="I83" s="710"/>
      <c r="J83" s="733"/>
      <c r="K83" s="718"/>
      <c r="L83" s="718"/>
      <c r="M83" s="718"/>
      <c r="N83" s="719"/>
      <c r="O83" s="718"/>
      <c r="P83" s="718"/>
      <c r="Q83" s="718"/>
      <c r="R83" s="744"/>
      <c r="S83" s="744"/>
      <c r="T83" s="744"/>
      <c r="U83" s="744"/>
      <c r="V83" s="744"/>
      <c r="W83" s="744"/>
      <c r="X83" s="738"/>
      <c r="Y83" s="738"/>
      <c r="Z83" s="745"/>
      <c r="AA83" s="745"/>
      <c r="AB83" s="745"/>
      <c r="AC83" s="738"/>
      <c r="AD83" s="603"/>
      <c r="AE83" s="603"/>
      <c r="AF83" s="603"/>
      <c r="AG83" s="603"/>
      <c r="AH83" s="603"/>
    </row>
    <row r="84" spans="1:34" hidden="1">
      <c r="A84" s="733">
        <v>5</v>
      </c>
      <c r="B84" s="765" t="s">
        <v>1572</v>
      </c>
      <c r="C84" s="730"/>
      <c r="D84" s="709"/>
      <c r="E84" s="709"/>
      <c r="F84" s="709"/>
      <c r="G84" s="709"/>
      <c r="H84" s="709"/>
      <c r="I84" s="710"/>
      <c r="J84" s="733"/>
      <c r="K84" s="718"/>
      <c r="L84" s="718"/>
      <c r="M84" s="718"/>
      <c r="N84" s="719"/>
      <c r="O84" s="718"/>
      <c r="P84" s="718"/>
      <c r="Q84" s="718"/>
      <c r="R84" s="744"/>
      <c r="S84" s="744"/>
      <c r="T84" s="744"/>
      <c r="U84" s="744"/>
      <c r="V84" s="744"/>
      <c r="W84" s="744"/>
      <c r="X84" s="738"/>
      <c r="Y84" s="738"/>
      <c r="Z84" s="745"/>
      <c r="AA84" s="745"/>
      <c r="AB84" s="745"/>
      <c r="AC84" s="738"/>
      <c r="AD84" s="603"/>
      <c r="AE84" s="603"/>
      <c r="AF84" s="603"/>
      <c r="AG84" s="603"/>
      <c r="AH84" s="603"/>
    </row>
    <row r="85" spans="1:34" hidden="1">
      <c r="A85" s="733"/>
      <c r="B85" s="739">
        <v>5.0999999999999996</v>
      </c>
      <c r="C85" s="759" t="s">
        <v>1573</v>
      </c>
      <c r="D85" s="709"/>
      <c r="E85" s="709"/>
      <c r="F85" s="709"/>
      <c r="G85" s="709"/>
      <c r="H85" s="709"/>
      <c r="I85" s="710"/>
      <c r="J85" s="733"/>
      <c r="K85" s="718"/>
      <c r="L85" s="718"/>
      <c r="M85" s="718"/>
      <c r="N85" s="719"/>
      <c r="O85" s="718"/>
      <c r="P85" s="718"/>
      <c r="Q85" s="718"/>
      <c r="R85" s="744"/>
      <c r="S85" s="744"/>
      <c r="T85" s="744"/>
      <c r="U85" s="744"/>
      <c r="V85" s="744"/>
      <c r="W85" s="744"/>
      <c r="X85" s="738"/>
      <c r="Y85" s="738"/>
      <c r="Z85" s="745"/>
      <c r="AA85" s="745"/>
      <c r="AB85" s="745"/>
      <c r="AC85" s="738"/>
      <c r="AD85" s="603"/>
      <c r="AE85" s="603"/>
      <c r="AF85" s="603"/>
      <c r="AG85" s="603"/>
      <c r="AH85" s="603"/>
    </row>
    <row r="86" spans="1:34" hidden="1">
      <c r="A86" s="733"/>
      <c r="B86" s="739"/>
      <c r="C86" s="759" t="s">
        <v>456</v>
      </c>
      <c r="D86" s="759" t="s">
        <v>1574</v>
      </c>
      <c r="E86" s="709"/>
      <c r="F86" s="709"/>
      <c r="G86" s="709"/>
      <c r="H86" s="709"/>
      <c r="I86" s="710"/>
      <c r="J86" s="733" t="s">
        <v>480</v>
      </c>
      <c r="K86" s="718">
        <v>0</v>
      </c>
      <c r="L86" s="718">
        <f>IF(K86=0,0,110)</f>
        <v>0</v>
      </c>
      <c r="M86" s="718">
        <f>ROUNDDOWN(K86*L86,2)</f>
        <v>0</v>
      </c>
      <c r="N86" s="719">
        <f>IF(K86=0,0,$N$172)</f>
        <v>0</v>
      </c>
      <c r="O86" s="718">
        <f>ROUNDDOWN(L86*N86,2)</f>
        <v>0</v>
      </c>
      <c r="P86" s="718">
        <f>ROUNDDOWN(K86*O86,2)</f>
        <v>0</v>
      </c>
      <c r="Q86" s="718"/>
      <c r="R86" s="744"/>
      <c r="S86" s="744"/>
      <c r="T86" s="744"/>
      <c r="U86" s="744"/>
      <c r="V86" s="744"/>
      <c r="W86" s="744"/>
      <c r="X86" s="738"/>
      <c r="Y86" s="738"/>
      <c r="Z86" s="745"/>
      <c r="AA86" s="745"/>
      <c r="AB86" s="745"/>
      <c r="AC86" s="738"/>
      <c r="AD86" s="603"/>
      <c r="AE86" s="603"/>
      <c r="AF86" s="603"/>
      <c r="AG86" s="603"/>
      <c r="AH86" s="603"/>
    </row>
    <row r="87" spans="1:34" hidden="1">
      <c r="A87" s="733"/>
      <c r="B87" s="739"/>
      <c r="C87" s="759" t="s">
        <v>638</v>
      </c>
      <c r="D87" s="759" t="s">
        <v>676</v>
      </c>
      <c r="E87" s="709"/>
      <c r="F87" s="709"/>
      <c r="G87" s="709"/>
      <c r="H87" s="709"/>
      <c r="I87" s="710"/>
      <c r="J87" s="733" t="s">
        <v>480</v>
      </c>
      <c r="K87" s="718">
        <v>0</v>
      </c>
      <c r="L87" s="718">
        <f>IF(K87=0,0,400)</f>
        <v>0</v>
      </c>
      <c r="M87" s="718">
        <f>ROUNDDOWN(K87*L87,2)</f>
        <v>0</v>
      </c>
      <c r="N87" s="719">
        <f>IF(K87=0,0,$N$172)</f>
        <v>0</v>
      </c>
      <c r="O87" s="718">
        <f>ROUNDDOWN(L87*N87,2)</f>
        <v>0</v>
      </c>
      <c r="P87" s="718">
        <f>ROUNDDOWN(K87*O87,2)</f>
        <v>0</v>
      </c>
      <c r="Q87" s="718"/>
      <c r="R87" s="744"/>
      <c r="S87" s="744"/>
      <c r="T87" s="744"/>
      <c r="U87" s="744"/>
      <c r="V87" s="744"/>
      <c r="W87" s="744"/>
      <c r="X87" s="738"/>
      <c r="Y87" s="738"/>
      <c r="Z87" s="745"/>
      <c r="AA87" s="745"/>
      <c r="AB87" s="745"/>
      <c r="AC87" s="738"/>
      <c r="AD87" s="603"/>
      <c r="AE87" s="603"/>
      <c r="AF87" s="603"/>
      <c r="AG87" s="603"/>
      <c r="AH87" s="603"/>
    </row>
    <row r="88" spans="1:34" hidden="1">
      <c r="A88" s="733"/>
      <c r="B88" s="739"/>
      <c r="C88" s="759" t="s">
        <v>258</v>
      </c>
      <c r="D88" s="759" t="s">
        <v>1575</v>
      </c>
      <c r="E88" s="709"/>
      <c r="F88" s="709"/>
      <c r="G88" s="709"/>
      <c r="H88" s="709"/>
      <c r="I88" s="710"/>
      <c r="J88" s="733" t="s">
        <v>390</v>
      </c>
      <c r="K88" s="718">
        <v>0</v>
      </c>
      <c r="L88" s="718">
        <f>IF(K88=0,0,200)</f>
        <v>0</v>
      </c>
      <c r="M88" s="718">
        <f>ROUNDDOWN(K88*L88,2)</f>
        <v>0</v>
      </c>
      <c r="N88" s="719">
        <f>IF(K88=0,0,$N$172)</f>
        <v>0</v>
      </c>
      <c r="O88" s="718">
        <f>ROUNDDOWN(L88*N88,2)</f>
        <v>0</v>
      </c>
      <c r="P88" s="718">
        <f>ROUNDDOWN(K88*O88,2)</f>
        <v>0</v>
      </c>
      <c r="Q88" s="718"/>
      <c r="R88" s="744"/>
      <c r="S88" s="744"/>
      <c r="T88" s="744"/>
      <c r="U88" s="744"/>
      <c r="V88" s="744"/>
      <c r="W88" s="744"/>
      <c r="X88" s="738"/>
      <c r="Y88" s="738"/>
      <c r="Z88" s="745"/>
      <c r="AA88" s="745"/>
      <c r="AB88" s="745"/>
      <c r="AC88" s="738"/>
      <c r="AD88" s="603"/>
      <c r="AE88" s="603"/>
      <c r="AF88" s="603"/>
      <c r="AG88" s="603"/>
      <c r="AH88" s="603"/>
    </row>
    <row r="89" spans="1:34" hidden="1">
      <c r="A89" s="733"/>
      <c r="B89" s="739"/>
      <c r="C89" s="759" t="s">
        <v>650</v>
      </c>
      <c r="D89" s="759" t="s">
        <v>1576</v>
      </c>
      <c r="E89" s="709"/>
      <c r="F89" s="709"/>
      <c r="G89" s="709"/>
      <c r="H89" s="709"/>
      <c r="I89" s="710"/>
      <c r="J89" s="733" t="s">
        <v>17</v>
      </c>
      <c r="K89" s="718">
        <v>0</v>
      </c>
      <c r="L89" s="718">
        <f>IF(K89=0,0,100)</f>
        <v>0</v>
      </c>
      <c r="M89" s="718">
        <f>ROUNDDOWN(K89*L89,2)</f>
        <v>0</v>
      </c>
      <c r="N89" s="719">
        <f>IF(K89=0,0,$N$172)</f>
        <v>0</v>
      </c>
      <c r="O89" s="718">
        <f>ROUNDDOWN(L89*N89,2)</f>
        <v>0</v>
      </c>
      <c r="P89" s="718">
        <f>ROUNDDOWN(K89*O89,2)</f>
        <v>0</v>
      </c>
      <c r="Q89" s="718"/>
      <c r="R89" s="744"/>
      <c r="S89" s="744"/>
      <c r="T89" s="744"/>
      <c r="U89" s="744"/>
      <c r="V89" s="744"/>
      <c r="W89" s="744"/>
      <c r="X89" s="738"/>
      <c r="Y89" s="738"/>
      <c r="Z89" s="745"/>
      <c r="AA89" s="745"/>
      <c r="AB89" s="745"/>
      <c r="AC89" s="738"/>
      <c r="AD89" s="603"/>
      <c r="AE89" s="603"/>
      <c r="AF89" s="603"/>
      <c r="AG89" s="603"/>
      <c r="AH89" s="603"/>
    </row>
    <row r="90" spans="1:34" hidden="1">
      <c r="A90" s="707"/>
      <c r="B90" s="732">
        <v>5.2</v>
      </c>
      <c r="C90" s="767" t="s">
        <v>1577</v>
      </c>
      <c r="D90" s="615"/>
      <c r="E90" s="615"/>
      <c r="F90" s="615"/>
      <c r="G90" s="615"/>
      <c r="H90" s="615"/>
      <c r="I90" s="768"/>
      <c r="J90" s="707"/>
      <c r="K90" s="711"/>
      <c r="L90" s="712"/>
      <c r="M90" s="712"/>
      <c r="N90" s="719"/>
      <c r="O90" s="737"/>
      <c r="P90" s="712"/>
      <c r="Q90" s="712"/>
      <c r="R90" s="744"/>
      <c r="S90" s="738"/>
      <c r="T90" s="738"/>
      <c r="U90" s="738"/>
      <c r="V90" s="738"/>
      <c r="W90" s="738"/>
      <c r="X90" s="601"/>
      <c r="Y90" s="601"/>
      <c r="Z90" s="601"/>
      <c r="AA90" s="601"/>
      <c r="AB90" s="601"/>
      <c r="AC90" s="601"/>
      <c r="AD90" s="603"/>
      <c r="AE90" s="603"/>
      <c r="AF90" s="603"/>
      <c r="AG90" s="603"/>
      <c r="AH90" s="603"/>
    </row>
    <row r="91" spans="1:34" hidden="1">
      <c r="A91" s="707"/>
      <c r="B91" s="708"/>
      <c r="C91" s="767"/>
      <c r="D91" s="615" t="s">
        <v>936</v>
      </c>
      <c r="E91" s="615"/>
      <c r="F91" s="615"/>
      <c r="G91" s="615"/>
      <c r="H91" s="615"/>
      <c r="I91" s="768"/>
      <c r="J91" s="707"/>
      <c r="K91" s="711"/>
      <c r="L91" s="712"/>
      <c r="M91" s="712"/>
      <c r="N91" s="719"/>
      <c r="O91" s="737"/>
      <c r="P91" s="712"/>
      <c r="Q91" s="712"/>
      <c r="R91" s="579"/>
      <c r="S91" s="579"/>
      <c r="T91" s="601"/>
      <c r="U91" s="601"/>
      <c r="V91" s="601"/>
      <c r="W91" s="601"/>
      <c r="X91" s="601"/>
      <c r="Y91" s="601"/>
      <c r="Z91" s="601"/>
      <c r="AA91" s="601"/>
      <c r="AB91" s="601"/>
      <c r="AC91" s="601"/>
      <c r="AD91" s="603"/>
      <c r="AE91" s="603"/>
      <c r="AF91" s="603"/>
      <c r="AG91" s="603"/>
      <c r="AH91" s="603"/>
    </row>
    <row r="92" spans="1:34" hidden="1">
      <c r="A92" s="707"/>
      <c r="B92" s="708"/>
      <c r="C92" s="767" t="s">
        <v>381</v>
      </c>
      <c r="D92" s="615" t="s">
        <v>1524</v>
      </c>
      <c r="E92" s="615"/>
      <c r="F92" s="615"/>
      <c r="G92" s="615"/>
      <c r="H92" s="615"/>
      <c r="I92" s="768"/>
      <c r="J92" s="707" t="s">
        <v>390</v>
      </c>
      <c r="K92" s="718">
        <v>0</v>
      </c>
      <c r="L92" s="718">
        <f>IF(K92=0,0,11740)</f>
        <v>0</v>
      </c>
      <c r="M92" s="718">
        <f>ROUNDDOWN(K92*L92,2)</f>
        <v>0</v>
      </c>
      <c r="N92" s="719">
        <f>IF(K92=0,0,$N$172)</f>
        <v>0</v>
      </c>
      <c r="O92" s="718">
        <f>ROUNDDOWN(L92*N92,2)</f>
        <v>0</v>
      </c>
      <c r="P92" s="718">
        <f t="shared" ref="P92:P141" si="6">ROUNDDOWN(K92*O92,2)</f>
        <v>0</v>
      </c>
      <c r="Q92" s="718"/>
      <c r="R92" s="579"/>
      <c r="S92" s="579"/>
      <c r="T92" s="601"/>
      <c r="U92" s="601"/>
      <c r="V92" s="601"/>
      <c r="W92" s="601"/>
      <c r="X92" s="601"/>
      <c r="Y92" s="601"/>
      <c r="Z92" s="601"/>
      <c r="AA92" s="601"/>
      <c r="AB92" s="601"/>
      <c r="AC92" s="601"/>
      <c r="AD92" s="603"/>
      <c r="AE92" s="603"/>
      <c r="AF92" s="603"/>
      <c r="AG92" s="603"/>
      <c r="AH92" s="603"/>
    </row>
    <row r="93" spans="1:34" hidden="1">
      <c r="A93" s="707"/>
      <c r="B93" s="708"/>
      <c r="C93" s="767" t="s">
        <v>655</v>
      </c>
      <c r="D93" s="615" t="s">
        <v>659</v>
      </c>
      <c r="E93" s="615"/>
      <c r="F93" s="615"/>
      <c r="G93" s="615"/>
      <c r="H93" s="615"/>
      <c r="I93" s="768"/>
      <c r="J93" s="707" t="s">
        <v>390</v>
      </c>
      <c r="K93" s="718">
        <v>0</v>
      </c>
      <c r="L93" s="718">
        <f>IF(K93=0,0,4330)</f>
        <v>0</v>
      </c>
      <c r="M93" s="718">
        <f t="shared" ref="M93:M130" si="7">ROUNDDOWN(K93*L93,2)</f>
        <v>0</v>
      </c>
      <c r="N93" s="719">
        <f t="shared" ref="N93:N130" si="8">IF(K93=0,0,$N$172)</f>
        <v>0</v>
      </c>
      <c r="O93" s="718">
        <f t="shared" ref="O93:O130" si="9">ROUNDDOWN(L93*N93,2)</f>
        <v>0</v>
      </c>
      <c r="P93" s="718">
        <f t="shared" si="6"/>
        <v>0</v>
      </c>
      <c r="Q93" s="718"/>
      <c r="R93" s="579"/>
      <c r="S93" s="579"/>
      <c r="T93" s="601"/>
      <c r="U93" s="601"/>
      <c r="V93" s="601"/>
      <c r="W93" s="601"/>
      <c r="X93" s="603"/>
      <c r="Y93" s="603"/>
      <c r="Z93" s="603"/>
      <c r="AA93" s="603"/>
      <c r="AB93" s="603"/>
      <c r="AC93" s="603"/>
      <c r="AD93" s="603"/>
      <c r="AE93" s="603"/>
      <c r="AF93" s="603"/>
      <c r="AG93" s="603"/>
      <c r="AH93" s="603"/>
    </row>
    <row r="94" spans="1:34" hidden="1">
      <c r="A94" s="707"/>
      <c r="B94" s="708"/>
      <c r="C94" s="767" t="s">
        <v>657</v>
      </c>
      <c r="D94" s="615" t="s">
        <v>660</v>
      </c>
      <c r="E94" s="615"/>
      <c r="F94" s="615"/>
      <c r="G94" s="615"/>
      <c r="H94" s="615"/>
      <c r="I94" s="768"/>
      <c r="J94" s="707" t="s">
        <v>390</v>
      </c>
      <c r="K94" s="718">
        <v>0</v>
      </c>
      <c r="L94" s="718">
        <f>IF(K94=0,0,2580)</f>
        <v>0</v>
      </c>
      <c r="M94" s="718">
        <f t="shared" si="7"/>
        <v>0</v>
      </c>
      <c r="N94" s="719">
        <f t="shared" si="8"/>
        <v>0</v>
      </c>
      <c r="O94" s="718">
        <f t="shared" si="9"/>
        <v>0</v>
      </c>
      <c r="P94" s="718">
        <f t="shared" si="6"/>
        <v>0</v>
      </c>
      <c r="Q94" s="718"/>
      <c r="R94" s="579"/>
      <c r="S94" s="579"/>
      <c r="T94" s="601"/>
      <c r="U94" s="601"/>
      <c r="V94" s="601"/>
      <c r="W94" s="601"/>
      <c r="X94" s="603"/>
      <c r="Y94" s="603"/>
      <c r="Z94" s="603"/>
      <c r="AA94" s="603"/>
      <c r="AB94" s="603"/>
      <c r="AC94" s="603"/>
      <c r="AD94" s="603"/>
      <c r="AE94" s="603"/>
      <c r="AF94" s="603"/>
      <c r="AG94" s="603"/>
      <c r="AH94" s="603"/>
    </row>
    <row r="95" spans="1:34" hidden="1">
      <c r="A95" s="707"/>
      <c r="B95" s="708"/>
      <c r="C95" s="767" t="s">
        <v>1578</v>
      </c>
      <c r="D95" s="615" t="s">
        <v>2093</v>
      </c>
      <c r="E95" s="615"/>
      <c r="F95" s="615"/>
      <c r="G95" s="615"/>
      <c r="H95" s="615"/>
      <c r="I95" s="768"/>
      <c r="J95" s="707" t="s">
        <v>390</v>
      </c>
      <c r="K95" s="718">
        <v>0</v>
      </c>
      <c r="L95" s="718">
        <f>IF(K95=0,0,2940)</f>
        <v>0</v>
      </c>
      <c r="M95" s="718">
        <f t="shared" si="7"/>
        <v>0</v>
      </c>
      <c r="N95" s="719">
        <f t="shared" si="8"/>
        <v>0</v>
      </c>
      <c r="O95" s="718">
        <f t="shared" si="9"/>
        <v>0</v>
      </c>
      <c r="P95" s="718">
        <f t="shared" si="6"/>
        <v>0</v>
      </c>
      <c r="Q95" s="718"/>
      <c r="R95" s="579"/>
      <c r="S95" s="579"/>
      <c r="T95" s="601"/>
      <c r="U95" s="601"/>
      <c r="V95" s="601"/>
      <c r="W95" s="601"/>
      <c r="X95" s="603"/>
      <c r="Y95" s="603"/>
      <c r="Z95" s="603"/>
      <c r="AA95" s="603"/>
      <c r="AB95" s="603"/>
      <c r="AC95" s="603"/>
      <c r="AD95" s="603"/>
      <c r="AE95" s="603"/>
      <c r="AF95" s="603"/>
      <c r="AG95" s="603"/>
      <c r="AH95" s="603"/>
    </row>
    <row r="96" spans="1:34" hidden="1">
      <c r="A96" s="707"/>
      <c r="B96" s="708"/>
      <c r="C96" s="767" t="s">
        <v>1579</v>
      </c>
      <c r="D96" s="615" t="s">
        <v>661</v>
      </c>
      <c r="E96" s="615"/>
      <c r="F96" s="615"/>
      <c r="G96" s="615"/>
      <c r="H96" s="615"/>
      <c r="I96" s="768"/>
      <c r="J96" s="707" t="s">
        <v>390</v>
      </c>
      <c r="K96" s="718">
        <v>0</v>
      </c>
      <c r="L96" s="718">
        <f>IF(K96=0,0,2940)</f>
        <v>0</v>
      </c>
      <c r="M96" s="718">
        <f t="shared" si="7"/>
        <v>0</v>
      </c>
      <c r="N96" s="719">
        <f t="shared" si="8"/>
        <v>0</v>
      </c>
      <c r="O96" s="718">
        <f t="shared" si="9"/>
        <v>0</v>
      </c>
      <c r="P96" s="718">
        <f t="shared" si="6"/>
        <v>0</v>
      </c>
      <c r="Q96" s="718"/>
      <c r="R96" s="579"/>
      <c r="S96" s="579"/>
      <c r="T96" s="601"/>
      <c r="U96" s="601"/>
      <c r="V96" s="601"/>
      <c r="W96" s="601"/>
      <c r="X96" s="603"/>
      <c r="Y96" s="603"/>
      <c r="Z96" s="603"/>
      <c r="AA96" s="603"/>
      <c r="AB96" s="603"/>
      <c r="AC96" s="603"/>
      <c r="AD96" s="603"/>
      <c r="AE96" s="603"/>
      <c r="AF96" s="603"/>
      <c r="AG96" s="603"/>
      <c r="AH96" s="603"/>
    </row>
    <row r="97" spans="1:34" hidden="1">
      <c r="A97" s="707"/>
      <c r="B97" s="708"/>
      <c r="C97" s="767" t="s">
        <v>1580</v>
      </c>
      <c r="D97" s="615" t="s">
        <v>2094</v>
      </c>
      <c r="E97" s="615"/>
      <c r="F97" s="615"/>
      <c r="G97" s="615"/>
      <c r="H97" s="615"/>
      <c r="I97" s="768"/>
      <c r="J97" s="707" t="s">
        <v>390</v>
      </c>
      <c r="K97" s="718">
        <v>0</v>
      </c>
      <c r="L97" s="718">
        <f>IF(K97=0,0,3170)</f>
        <v>0</v>
      </c>
      <c r="M97" s="718">
        <f t="shared" si="7"/>
        <v>0</v>
      </c>
      <c r="N97" s="719">
        <f t="shared" si="8"/>
        <v>0</v>
      </c>
      <c r="O97" s="718">
        <f t="shared" si="9"/>
        <v>0</v>
      </c>
      <c r="P97" s="718">
        <f t="shared" si="6"/>
        <v>0</v>
      </c>
      <c r="Q97" s="718"/>
      <c r="R97" s="579"/>
      <c r="S97" s="579"/>
      <c r="T97" s="601"/>
      <c r="U97" s="601"/>
      <c r="V97" s="601"/>
      <c r="W97" s="601"/>
      <c r="X97" s="603"/>
      <c r="Y97" s="603"/>
      <c r="Z97" s="603"/>
      <c r="AA97" s="603"/>
      <c r="AB97" s="603"/>
      <c r="AC97" s="603"/>
      <c r="AD97" s="603"/>
      <c r="AE97" s="603"/>
      <c r="AF97" s="603"/>
      <c r="AG97" s="603"/>
      <c r="AH97" s="603"/>
    </row>
    <row r="98" spans="1:34" hidden="1">
      <c r="A98" s="707"/>
      <c r="B98" s="708"/>
      <c r="C98" s="767" t="s">
        <v>1581</v>
      </c>
      <c r="D98" s="615" t="s">
        <v>921</v>
      </c>
      <c r="E98" s="615"/>
      <c r="F98" s="615"/>
      <c r="G98" s="615"/>
      <c r="H98" s="615"/>
      <c r="I98" s="768"/>
      <c r="J98" s="707" t="s">
        <v>390</v>
      </c>
      <c r="K98" s="718">
        <v>0</v>
      </c>
      <c r="L98" s="718">
        <f>IF(K98=0,0,4330)</f>
        <v>0</v>
      </c>
      <c r="M98" s="718">
        <f t="shared" si="7"/>
        <v>0</v>
      </c>
      <c r="N98" s="719">
        <f t="shared" si="8"/>
        <v>0</v>
      </c>
      <c r="O98" s="718">
        <f t="shared" si="9"/>
        <v>0</v>
      </c>
      <c r="P98" s="718">
        <f t="shared" si="6"/>
        <v>0</v>
      </c>
      <c r="Q98" s="718"/>
      <c r="R98" s="579"/>
      <c r="S98" s="579"/>
      <c r="T98" s="601"/>
      <c r="U98" s="601"/>
      <c r="V98" s="601"/>
      <c r="W98" s="601"/>
      <c r="X98" s="603"/>
      <c r="Y98" s="603"/>
      <c r="Z98" s="603"/>
      <c r="AA98" s="603"/>
      <c r="AB98" s="603"/>
      <c r="AC98" s="603"/>
      <c r="AD98" s="603"/>
      <c r="AE98" s="603"/>
      <c r="AF98" s="603"/>
      <c r="AG98" s="603"/>
      <c r="AH98" s="603"/>
    </row>
    <row r="99" spans="1:34" hidden="1">
      <c r="A99" s="707"/>
      <c r="B99" s="708"/>
      <c r="C99" s="767" t="s">
        <v>1582</v>
      </c>
      <c r="D99" s="615" t="s">
        <v>662</v>
      </c>
      <c r="E99" s="615"/>
      <c r="F99" s="615"/>
      <c r="G99" s="615"/>
      <c r="H99" s="615"/>
      <c r="I99" s="768"/>
      <c r="J99" s="707" t="s">
        <v>390</v>
      </c>
      <c r="K99" s="718">
        <v>0</v>
      </c>
      <c r="L99" s="718">
        <f>IF(K99=0,0,5200)</f>
        <v>0</v>
      </c>
      <c r="M99" s="718">
        <f t="shared" si="7"/>
        <v>0</v>
      </c>
      <c r="N99" s="719">
        <f t="shared" si="8"/>
        <v>0</v>
      </c>
      <c r="O99" s="718">
        <f t="shared" si="9"/>
        <v>0</v>
      </c>
      <c r="P99" s="718">
        <f t="shared" si="6"/>
        <v>0</v>
      </c>
      <c r="Q99" s="718"/>
      <c r="R99" s="579"/>
      <c r="S99" s="579"/>
      <c r="T99" s="601"/>
      <c r="U99" s="601"/>
      <c r="V99" s="601"/>
      <c r="W99" s="601"/>
      <c r="X99" s="603"/>
      <c r="Y99" s="603"/>
      <c r="Z99" s="603"/>
      <c r="AA99" s="603"/>
      <c r="AB99" s="603"/>
      <c r="AC99" s="603"/>
      <c r="AD99" s="603"/>
      <c r="AE99" s="603"/>
      <c r="AF99" s="603"/>
      <c r="AG99" s="603"/>
      <c r="AH99" s="603"/>
    </row>
    <row r="100" spans="1:34" hidden="1">
      <c r="A100" s="707"/>
      <c r="B100" s="708"/>
      <c r="C100" s="767" t="s">
        <v>1583</v>
      </c>
      <c r="D100" s="615" t="s">
        <v>663</v>
      </c>
      <c r="E100" s="615"/>
      <c r="F100" s="615"/>
      <c r="G100" s="615"/>
      <c r="H100" s="615"/>
      <c r="I100" s="768"/>
      <c r="J100" s="707" t="s">
        <v>390</v>
      </c>
      <c r="K100" s="718">
        <v>0</v>
      </c>
      <c r="L100" s="718">
        <f>IF(K100=0,0,4890)</f>
        <v>0</v>
      </c>
      <c r="M100" s="718">
        <f t="shared" si="7"/>
        <v>0</v>
      </c>
      <c r="N100" s="719">
        <f t="shared" si="8"/>
        <v>0</v>
      </c>
      <c r="O100" s="718">
        <f t="shared" si="9"/>
        <v>0</v>
      </c>
      <c r="P100" s="718">
        <f t="shared" si="6"/>
        <v>0</v>
      </c>
      <c r="Q100" s="718"/>
      <c r="R100" s="579"/>
      <c r="S100" s="579"/>
      <c r="T100" s="601"/>
      <c r="U100" s="601"/>
      <c r="V100" s="601"/>
      <c r="W100" s="601"/>
      <c r="X100" s="603"/>
      <c r="Y100" s="603"/>
      <c r="Z100" s="603"/>
      <c r="AA100" s="603"/>
      <c r="AB100" s="603"/>
      <c r="AC100" s="603"/>
      <c r="AD100" s="603"/>
      <c r="AE100" s="603"/>
      <c r="AF100" s="603"/>
      <c r="AG100" s="603"/>
      <c r="AH100" s="603"/>
    </row>
    <row r="101" spans="1:34" hidden="1">
      <c r="A101" s="707"/>
      <c r="B101" s="708"/>
      <c r="C101" s="767" t="s">
        <v>1584</v>
      </c>
      <c r="D101" s="615" t="s">
        <v>528</v>
      </c>
      <c r="E101" s="615"/>
      <c r="F101" s="615"/>
      <c r="G101" s="615"/>
      <c r="H101" s="615"/>
      <c r="I101" s="768"/>
      <c r="J101" s="707" t="s">
        <v>390</v>
      </c>
      <c r="K101" s="718">
        <v>0</v>
      </c>
      <c r="L101" s="718">
        <f>IF(K101=0,0,(2*2770)+2120)</f>
        <v>0</v>
      </c>
      <c r="M101" s="718">
        <f t="shared" si="7"/>
        <v>0</v>
      </c>
      <c r="N101" s="719">
        <f t="shared" si="8"/>
        <v>0</v>
      </c>
      <c r="O101" s="718">
        <f t="shared" si="9"/>
        <v>0</v>
      </c>
      <c r="P101" s="718">
        <f t="shared" si="6"/>
        <v>0</v>
      </c>
      <c r="Q101" s="718"/>
      <c r="R101" s="579"/>
      <c r="S101" s="579"/>
      <c r="T101" s="601"/>
      <c r="U101" s="601"/>
      <c r="V101" s="601"/>
      <c r="W101" s="601"/>
      <c r="X101" s="603"/>
      <c r="Y101" s="603"/>
      <c r="Z101" s="603"/>
      <c r="AA101" s="603"/>
      <c r="AB101" s="603"/>
      <c r="AC101" s="603"/>
      <c r="AD101" s="603"/>
      <c r="AE101" s="603"/>
      <c r="AF101" s="603"/>
      <c r="AG101" s="603"/>
      <c r="AH101" s="603"/>
    </row>
    <row r="102" spans="1:34" hidden="1">
      <c r="A102" s="707"/>
      <c r="B102" s="708"/>
      <c r="C102" s="767" t="s">
        <v>1585</v>
      </c>
      <c r="D102" s="615" t="s">
        <v>664</v>
      </c>
      <c r="E102" s="615"/>
      <c r="F102" s="615"/>
      <c r="G102" s="615"/>
      <c r="H102" s="615"/>
      <c r="I102" s="768"/>
      <c r="J102" s="707" t="s">
        <v>390</v>
      </c>
      <c r="K102" s="718">
        <v>0</v>
      </c>
      <c r="L102" s="718">
        <f>IF(K102=0,0,4210)</f>
        <v>0</v>
      </c>
      <c r="M102" s="718">
        <f t="shared" si="7"/>
        <v>0</v>
      </c>
      <c r="N102" s="719">
        <f t="shared" si="8"/>
        <v>0</v>
      </c>
      <c r="O102" s="718">
        <f t="shared" si="9"/>
        <v>0</v>
      </c>
      <c r="P102" s="718">
        <f t="shared" si="6"/>
        <v>0</v>
      </c>
      <c r="Q102" s="718"/>
      <c r="R102" s="579"/>
      <c r="S102" s="579"/>
      <c r="T102" s="601"/>
      <c r="U102" s="601"/>
      <c r="V102" s="601"/>
      <c r="W102" s="601"/>
      <c r="X102" s="603"/>
      <c r="Y102" s="603"/>
      <c r="Z102" s="603"/>
      <c r="AA102" s="603"/>
      <c r="AB102" s="603"/>
      <c r="AC102" s="603"/>
      <c r="AD102" s="603"/>
      <c r="AE102" s="603"/>
      <c r="AF102" s="603"/>
      <c r="AG102" s="603"/>
      <c r="AH102" s="603"/>
    </row>
    <row r="103" spans="1:34" hidden="1">
      <c r="A103" s="707"/>
      <c r="B103" s="708"/>
      <c r="C103" s="767" t="s">
        <v>1586</v>
      </c>
      <c r="D103" s="615" t="s">
        <v>924</v>
      </c>
      <c r="E103" s="615"/>
      <c r="F103" s="615"/>
      <c r="G103" s="615"/>
      <c r="H103" s="615"/>
      <c r="I103" s="768"/>
      <c r="J103" s="707" t="s">
        <v>390</v>
      </c>
      <c r="K103" s="718">
        <v>0</v>
      </c>
      <c r="L103" s="718">
        <f>IF(K103=0,0,6550)</f>
        <v>0</v>
      </c>
      <c r="M103" s="718">
        <f t="shared" si="7"/>
        <v>0</v>
      </c>
      <c r="N103" s="719">
        <f t="shared" si="8"/>
        <v>0</v>
      </c>
      <c r="O103" s="718">
        <f t="shared" si="9"/>
        <v>0</v>
      </c>
      <c r="P103" s="718">
        <f t="shared" si="6"/>
        <v>0</v>
      </c>
      <c r="Q103" s="718"/>
      <c r="R103" s="579"/>
      <c r="S103" s="579"/>
      <c r="T103" s="601"/>
      <c r="U103" s="601"/>
      <c r="V103" s="601"/>
      <c r="W103" s="601"/>
      <c r="X103" s="603"/>
      <c r="Y103" s="603"/>
      <c r="Z103" s="603"/>
      <c r="AA103" s="603"/>
      <c r="AB103" s="603"/>
      <c r="AC103" s="603"/>
      <c r="AD103" s="603"/>
      <c r="AE103" s="603"/>
      <c r="AF103" s="603"/>
      <c r="AG103" s="603"/>
      <c r="AH103" s="603"/>
    </row>
    <row r="104" spans="1:34" hidden="1">
      <c r="A104" s="707"/>
      <c r="B104" s="708"/>
      <c r="C104" s="767" t="s">
        <v>1587</v>
      </c>
      <c r="D104" s="615" t="s">
        <v>665</v>
      </c>
      <c r="E104" s="615"/>
      <c r="F104" s="615"/>
      <c r="G104" s="615"/>
      <c r="H104" s="615"/>
      <c r="I104" s="768"/>
      <c r="J104" s="707" t="s">
        <v>390</v>
      </c>
      <c r="K104" s="718">
        <v>0</v>
      </c>
      <c r="L104" s="718">
        <f>IF(K104=0,0,5320)</f>
        <v>0</v>
      </c>
      <c r="M104" s="718">
        <f t="shared" si="7"/>
        <v>0</v>
      </c>
      <c r="N104" s="719">
        <f t="shared" si="8"/>
        <v>0</v>
      </c>
      <c r="O104" s="718">
        <f t="shared" si="9"/>
        <v>0</v>
      </c>
      <c r="P104" s="718">
        <f t="shared" si="6"/>
        <v>0</v>
      </c>
      <c r="Q104" s="718"/>
      <c r="R104" s="579"/>
      <c r="S104" s="579"/>
      <c r="T104" s="601"/>
      <c r="U104" s="601"/>
      <c r="V104" s="601"/>
      <c r="W104" s="601"/>
      <c r="X104" s="603"/>
      <c r="Y104" s="603"/>
      <c r="Z104" s="603"/>
      <c r="AA104" s="603"/>
      <c r="AB104" s="603"/>
      <c r="AC104" s="603"/>
      <c r="AD104" s="603"/>
      <c r="AE104" s="603"/>
      <c r="AF104" s="603"/>
      <c r="AG104" s="603"/>
      <c r="AH104" s="603"/>
    </row>
    <row r="105" spans="1:34" hidden="1">
      <c r="A105" s="707"/>
      <c r="B105" s="708"/>
      <c r="C105" s="767" t="s">
        <v>1588</v>
      </c>
      <c r="D105" s="615" t="s">
        <v>922</v>
      </c>
      <c r="E105" s="615"/>
      <c r="F105" s="615"/>
      <c r="G105" s="615"/>
      <c r="H105" s="615"/>
      <c r="I105" s="768"/>
      <c r="J105" s="707" t="s">
        <v>390</v>
      </c>
      <c r="K105" s="718">
        <v>0</v>
      </c>
      <c r="L105" s="718">
        <f>IF(K105=0,0,4210)</f>
        <v>0</v>
      </c>
      <c r="M105" s="718">
        <f t="shared" si="7"/>
        <v>0</v>
      </c>
      <c r="N105" s="719">
        <f t="shared" si="8"/>
        <v>0</v>
      </c>
      <c r="O105" s="718">
        <f t="shared" si="9"/>
        <v>0</v>
      </c>
      <c r="P105" s="718">
        <f t="shared" si="6"/>
        <v>0</v>
      </c>
      <c r="Q105" s="718"/>
      <c r="R105" s="579"/>
      <c r="S105" s="579"/>
      <c r="T105" s="601"/>
      <c r="U105" s="601"/>
      <c r="V105" s="601"/>
      <c r="W105" s="601"/>
      <c r="X105" s="603"/>
      <c r="Y105" s="603"/>
      <c r="Z105" s="603"/>
      <c r="AA105" s="603"/>
      <c r="AB105" s="603"/>
      <c r="AC105" s="603"/>
      <c r="AD105" s="603"/>
      <c r="AE105" s="603"/>
      <c r="AF105" s="603"/>
      <c r="AG105" s="603"/>
      <c r="AH105" s="603"/>
    </row>
    <row r="106" spans="1:34" hidden="1">
      <c r="A106" s="707"/>
      <c r="B106" s="708"/>
      <c r="C106" s="767" t="s">
        <v>1589</v>
      </c>
      <c r="D106" s="615" t="s">
        <v>923</v>
      </c>
      <c r="E106" s="615"/>
      <c r="F106" s="615"/>
      <c r="G106" s="615"/>
      <c r="H106" s="615"/>
      <c r="I106" s="768"/>
      <c r="J106" s="707" t="s">
        <v>390</v>
      </c>
      <c r="K106" s="718">
        <v>0</v>
      </c>
      <c r="L106" s="718">
        <f>IF(K106=0,0,4210)</f>
        <v>0</v>
      </c>
      <c r="M106" s="718">
        <f t="shared" si="7"/>
        <v>0</v>
      </c>
      <c r="N106" s="719">
        <f t="shared" si="8"/>
        <v>0</v>
      </c>
      <c r="O106" s="718">
        <f t="shared" si="9"/>
        <v>0</v>
      </c>
      <c r="P106" s="718">
        <f t="shared" si="6"/>
        <v>0</v>
      </c>
      <c r="Q106" s="718"/>
      <c r="R106" s="579"/>
      <c r="S106" s="579"/>
      <c r="T106" s="601"/>
      <c r="U106" s="601"/>
      <c r="V106" s="601"/>
      <c r="W106" s="601"/>
      <c r="X106" s="603"/>
      <c r="Y106" s="603"/>
      <c r="Z106" s="603"/>
      <c r="AA106" s="603"/>
      <c r="AB106" s="603"/>
      <c r="AC106" s="603"/>
      <c r="AD106" s="603"/>
      <c r="AE106" s="603"/>
      <c r="AF106" s="603"/>
      <c r="AG106" s="603"/>
      <c r="AH106" s="603"/>
    </row>
    <row r="107" spans="1:34" hidden="1">
      <c r="A107" s="707"/>
      <c r="B107" s="708"/>
      <c r="C107" s="767" t="s">
        <v>1590</v>
      </c>
      <c r="D107" s="615" t="s">
        <v>666</v>
      </c>
      <c r="E107" s="615"/>
      <c r="F107" s="615"/>
      <c r="G107" s="615"/>
      <c r="H107" s="615"/>
      <c r="I107" s="768"/>
      <c r="J107" s="707" t="s">
        <v>390</v>
      </c>
      <c r="K107" s="718">
        <v>0</v>
      </c>
      <c r="L107" s="718">
        <f>IF(K107=0,0,5020)</f>
        <v>0</v>
      </c>
      <c r="M107" s="718">
        <f t="shared" si="7"/>
        <v>0</v>
      </c>
      <c r="N107" s="719">
        <f t="shared" si="8"/>
        <v>0</v>
      </c>
      <c r="O107" s="718">
        <f t="shared" si="9"/>
        <v>0</v>
      </c>
      <c r="P107" s="718">
        <f t="shared" si="6"/>
        <v>0</v>
      </c>
      <c r="Q107" s="718"/>
      <c r="R107" s="579"/>
      <c r="S107" s="579"/>
      <c r="T107" s="601"/>
      <c r="U107" s="601"/>
      <c r="V107" s="601"/>
      <c r="W107" s="601"/>
      <c r="X107" s="603"/>
      <c r="Y107" s="603"/>
      <c r="Z107" s="603"/>
      <c r="AA107" s="603"/>
      <c r="AB107" s="603"/>
      <c r="AC107" s="603"/>
      <c r="AD107" s="603"/>
      <c r="AE107" s="603"/>
      <c r="AF107" s="603"/>
      <c r="AG107" s="603"/>
      <c r="AH107" s="603"/>
    </row>
    <row r="108" spans="1:34" hidden="1">
      <c r="A108" s="707"/>
      <c r="B108" s="708"/>
      <c r="C108" s="767" t="s">
        <v>1591</v>
      </c>
      <c r="D108" s="615" t="s">
        <v>925</v>
      </c>
      <c r="E108" s="615"/>
      <c r="F108" s="615"/>
      <c r="G108" s="615"/>
      <c r="H108" s="615"/>
      <c r="I108" s="768"/>
      <c r="J108" s="707" t="s">
        <v>390</v>
      </c>
      <c r="K108" s="718">
        <v>0</v>
      </c>
      <c r="L108" s="718">
        <f>IF(K108=0,0,3170)</f>
        <v>0</v>
      </c>
      <c r="M108" s="718">
        <f t="shared" si="7"/>
        <v>0</v>
      </c>
      <c r="N108" s="719">
        <f t="shared" si="8"/>
        <v>0</v>
      </c>
      <c r="O108" s="718">
        <f t="shared" si="9"/>
        <v>0</v>
      </c>
      <c r="P108" s="718">
        <f t="shared" si="6"/>
        <v>0</v>
      </c>
      <c r="Q108" s="718"/>
      <c r="R108" s="579"/>
      <c r="S108" s="579"/>
      <c r="T108" s="601"/>
      <c r="U108" s="601"/>
      <c r="V108" s="601"/>
      <c r="W108" s="601"/>
      <c r="X108" s="603"/>
      <c r="Y108" s="603"/>
      <c r="Z108" s="603"/>
      <c r="AA108" s="603"/>
      <c r="AB108" s="603"/>
      <c r="AC108" s="603"/>
      <c r="AD108" s="603"/>
      <c r="AE108" s="603"/>
      <c r="AF108" s="603"/>
      <c r="AG108" s="603"/>
      <c r="AH108" s="603"/>
    </row>
    <row r="109" spans="1:34" hidden="1">
      <c r="A109" s="707"/>
      <c r="B109" s="708"/>
      <c r="C109" s="767" t="s">
        <v>1592</v>
      </c>
      <c r="D109" s="615" t="s">
        <v>667</v>
      </c>
      <c r="E109" s="615"/>
      <c r="F109" s="615"/>
      <c r="G109" s="615"/>
      <c r="H109" s="615"/>
      <c r="I109" s="768"/>
      <c r="J109" s="707" t="s">
        <v>390</v>
      </c>
      <c r="K109" s="718">
        <v>0</v>
      </c>
      <c r="L109" s="718">
        <f>IF(K109=0,0,2700)</f>
        <v>0</v>
      </c>
      <c r="M109" s="718">
        <f t="shared" si="7"/>
        <v>0</v>
      </c>
      <c r="N109" s="719">
        <f t="shared" si="8"/>
        <v>0</v>
      </c>
      <c r="O109" s="718">
        <f t="shared" si="9"/>
        <v>0</v>
      </c>
      <c r="P109" s="718">
        <f t="shared" si="6"/>
        <v>0</v>
      </c>
      <c r="Q109" s="718"/>
      <c r="R109" s="579"/>
      <c r="S109" s="579"/>
      <c r="T109" s="601"/>
      <c r="U109" s="601"/>
      <c r="V109" s="601"/>
      <c r="W109" s="601"/>
      <c r="X109" s="603"/>
      <c r="Y109" s="603"/>
      <c r="Z109" s="603"/>
      <c r="AA109" s="603"/>
      <c r="AB109" s="603"/>
      <c r="AC109" s="603"/>
      <c r="AD109" s="603"/>
      <c r="AE109" s="603"/>
      <c r="AF109" s="603"/>
      <c r="AG109" s="603"/>
      <c r="AH109" s="603"/>
    </row>
    <row r="110" spans="1:34" hidden="1">
      <c r="A110" s="707"/>
      <c r="B110" s="708"/>
      <c r="C110" s="767" t="s">
        <v>1593</v>
      </c>
      <c r="D110" s="615" t="s">
        <v>668</v>
      </c>
      <c r="E110" s="615"/>
      <c r="F110" s="615"/>
      <c r="G110" s="615"/>
      <c r="H110" s="615"/>
      <c r="I110" s="768"/>
      <c r="J110" s="707" t="s">
        <v>390</v>
      </c>
      <c r="K110" s="718">
        <v>0</v>
      </c>
      <c r="L110" s="718">
        <f>IF(K110=0,0,4930)</f>
        <v>0</v>
      </c>
      <c r="M110" s="718">
        <f t="shared" si="7"/>
        <v>0</v>
      </c>
      <c r="N110" s="719">
        <f t="shared" si="8"/>
        <v>0</v>
      </c>
      <c r="O110" s="718">
        <f t="shared" si="9"/>
        <v>0</v>
      </c>
      <c r="P110" s="718">
        <f t="shared" si="6"/>
        <v>0</v>
      </c>
      <c r="Q110" s="718"/>
      <c r="R110" s="579"/>
      <c r="S110" s="579"/>
      <c r="T110" s="601"/>
      <c r="U110" s="601"/>
      <c r="V110" s="601"/>
      <c r="W110" s="601"/>
      <c r="X110" s="603"/>
      <c r="Y110" s="603"/>
      <c r="Z110" s="603"/>
      <c r="AA110" s="603"/>
      <c r="AB110" s="603"/>
      <c r="AC110" s="603"/>
      <c r="AD110" s="603"/>
      <c r="AE110" s="603"/>
      <c r="AF110" s="603"/>
      <c r="AG110" s="603"/>
      <c r="AH110" s="603"/>
    </row>
    <row r="111" spans="1:34" hidden="1">
      <c r="A111" s="707"/>
      <c r="B111" s="708"/>
      <c r="C111" s="767" t="s">
        <v>1594</v>
      </c>
      <c r="D111" s="615" t="s">
        <v>669</v>
      </c>
      <c r="E111" s="615"/>
      <c r="F111" s="615"/>
      <c r="G111" s="615"/>
      <c r="H111" s="615"/>
      <c r="I111" s="768"/>
      <c r="J111" s="707" t="s">
        <v>390</v>
      </c>
      <c r="K111" s="718">
        <v>0</v>
      </c>
      <c r="L111" s="718">
        <f>IF(K111=0,0,3320)</f>
        <v>0</v>
      </c>
      <c r="M111" s="718">
        <f t="shared" si="7"/>
        <v>0</v>
      </c>
      <c r="N111" s="719">
        <f t="shared" si="8"/>
        <v>0</v>
      </c>
      <c r="O111" s="718">
        <f t="shared" si="9"/>
        <v>0</v>
      </c>
      <c r="P111" s="718">
        <f t="shared" si="6"/>
        <v>0</v>
      </c>
      <c r="Q111" s="718"/>
      <c r="R111" s="579"/>
      <c r="S111" s="579"/>
      <c r="T111" s="601"/>
      <c r="U111" s="601"/>
      <c r="V111" s="601"/>
      <c r="W111" s="601"/>
      <c r="X111" s="603"/>
      <c r="Y111" s="603"/>
      <c r="Z111" s="603"/>
      <c r="AA111" s="603"/>
      <c r="AB111" s="603"/>
      <c r="AC111" s="603"/>
      <c r="AD111" s="603"/>
      <c r="AE111" s="603"/>
      <c r="AF111" s="603"/>
      <c r="AG111" s="603"/>
      <c r="AH111" s="603"/>
    </row>
    <row r="112" spans="1:34" hidden="1">
      <c r="A112" s="707"/>
      <c r="B112" s="708"/>
      <c r="C112" s="767" t="s">
        <v>1595</v>
      </c>
      <c r="D112" s="615" t="s">
        <v>931</v>
      </c>
      <c r="E112" s="615"/>
      <c r="F112" s="615"/>
      <c r="G112" s="615"/>
      <c r="H112" s="615"/>
      <c r="I112" s="768"/>
      <c r="J112" s="707" t="s">
        <v>390</v>
      </c>
      <c r="K112" s="718">
        <v>0</v>
      </c>
      <c r="L112" s="718">
        <f>IF(K112=0,0,3990)</f>
        <v>0</v>
      </c>
      <c r="M112" s="718">
        <f t="shared" si="7"/>
        <v>0</v>
      </c>
      <c r="N112" s="719">
        <f t="shared" si="8"/>
        <v>0</v>
      </c>
      <c r="O112" s="718">
        <f t="shared" si="9"/>
        <v>0</v>
      </c>
      <c r="P112" s="718">
        <f t="shared" si="6"/>
        <v>0</v>
      </c>
      <c r="Q112" s="718"/>
      <c r="R112" s="579"/>
      <c r="S112" s="579"/>
      <c r="T112" s="601"/>
      <c r="U112" s="601"/>
      <c r="V112" s="601"/>
      <c r="W112" s="601"/>
      <c r="X112" s="603"/>
      <c r="Y112" s="603"/>
      <c r="Z112" s="603"/>
      <c r="AA112" s="603"/>
      <c r="AB112" s="603"/>
      <c r="AC112" s="603"/>
      <c r="AD112" s="603"/>
      <c r="AE112" s="603"/>
      <c r="AF112" s="603"/>
      <c r="AG112" s="603"/>
      <c r="AH112" s="603"/>
    </row>
    <row r="113" spans="1:34" hidden="1">
      <c r="A113" s="707"/>
      <c r="B113" s="708"/>
      <c r="C113" s="767" t="s">
        <v>1596</v>
      </c>
      <c r="D113" s="615" t="s">
        <v>932</v>
      </c>
      <c r="E113" s="615"/>
      <c r="F113" s="615"/>
      <c r="G113" s="615"/>
      <c r="H113" s="615"/>
      <c r="I113" s="768"/>
      <c r="J113" s="707" t="s">
        <v>390</v>
      </c>
      <c r="K113" s="718">
        <v>0</v>
      </c>
      <c r="L113" s="718">
        <f>IF(K113=0,0,6260)</f>
        <v>0</v>
      </c>
      <c r="M113" s="718">
        <f t="shared" si="7"/>
        <v>0</v>
      </c>
      <c r="N113" s="719">
        <f t="shared" si="8"/>
        <v>0</v>
      </c>
      <c r="O113" s="718">
        <f t="shared" si="9"/>
        <v>0</v>
      </c>
      <c r="P113" s="718">
        <f t="shared" si="6"/>
        <v>0</v>
      </c>
      <c r="Q113" s="718"/>
      <c r="R113" s="579"/>
      <c r="S113" s="579"/>
      <c r="T113" s="601"/>
      <c r="U113" s="601"/>
      <c r="V113" s="601"/>
      <c r="W113" s="601"/>
      <c r="X113" s="603"/>
      <c r="Y113" s="603"/>
      <c r="Z113" s="603"/>
      <c r="AA113" s="603"/>
      <c r="AB113" s="603"/>
      <c r="AC113" s="603"/>
      <c r="AD113" s="603"/>
      <c r="AE113" s="603"/>
      <c r="AF113" s="603"/>
      <c r="AG113" s="603"/>
      <c r="AH113" s="603"/>
    </row>
    <row r="114" spans="1:34" hidden="1">
      <c r="A114" s="707"/>
      <c r="B114" s="708"/>
      <c r="C114" s="767" t="s">
        <v>1597</v>
      </c>
      <c r="D114" s="615" t="s">
        <v>933</v>
      </c>
      <c r="E114" s="615"/>
      <c r="F114" s="615"/>
      <c r="G114" s="615"/>
      <c r="H114" s="615"/>
      <c r="I114" s="768"/>
      <c r="J114" s="707" t="s">
        <v>390</v>
      </c>
      <c r="K114" s="718">
        <v>0</v>
      </c>
      <c r="L114" s="718">
        <f>IF(K114=0,0,4220)</f>
        <v>0</v>
      </c>
      <c r="M114" s="718">
        <f t="shared" si="7"/>
        <v>0</v>
      </c>
      <c r="N114" s="719">
        <f t="shared" si="8"/>
        <v>0</v>
      </c>
      <c r="O114" s="718">
        <f t="shared" si="9"/>
        <v>0</v>
      </c>
      <c r="P114" s="718">
        <f t="shared" si="6"/>
        <v>0</v>
      </c>
      <c r="Q114" s="718"/>
      <c r="R114" s="579"/>
      <c r="S114" s="579"/>
      <c r="T114" s="601"/>
      <c r="U114" s="601"/>
      <c r="V114" s="601"/>
      <c r="W114" s="601"/>
      <c r="X114" s="603"/>
      <c r="Y114" s="603"/>
      <c r="Z114" s="603"/>
      <c r="AA114" s="603"/>
      <c r="AB114" s="603"/>
      <c r="AC114" s="603"/>
      <c r="AD114" s="603"/>
      <c r="AE114" s="603"/>
      <c r="AF114" s="603"/>
      <c r="AG114" s="603"/>
      <c r="AH114" s="603"/>
    </row>
    <row r="115" spans="1:34" hidden="1">
      <c r="A115" s="707"/>
      <c r="B115" s="708"/>
      <c r="C115" s="767" t="s">
        <v>1598</v>
      </c>
      <c r="D115" s="615" t="s">
        <v>934</v>
      </c>
      <c r="E115" s="615"/>
      <c r="F115" s="615"/>
      <c r="G115" s="615"/>
      <c r="H115" s="615"/>
      <c r="I115" s="768"/>
      <c r="J115" s="707" t="s">
        <v>390</v>
      </c>
      <c r="K115" s="718">
        <v>0</v>
      </c>
      <c r="L115" s="718">
        <f>IF(K115=0,0,6170)</f>
        <v>0</v>
      </c>
      <c r="M115" s="718">
        <f t="shared" si="7"/>
        <v>0</v>
      </c>
      <c r="N115" s="719">
        <f t="shared" si="8"/>
        <v>0</v>
      </c>
      <c r="O115" s="718">
        <f t="shared" si="9"/>
        <v>0</v>
      </c>
      <c r="P115" s="718">
        <f t="shared" si="6"/>
        <v>0</v>
      </c>
      <c r="Q115" s="718"/>
      <c r="R115" s="579"/>
      <c r="S115" s="579"/>
      <c r="T115" s="601"/>
      <c r="U115" s="601"/>
      <c r="V115" s="601"/>
      <c r="W115" s="601"/>
      <c r="X115" s="603"/>
      <c r="Y115" s="603"/>
      <c r="Z115" s="603"/>
      <c r="AA115" s="603"/>
      <c r="AB115" s="603"/>
      <c r="AC115" s="603"/>
      <c r="AD115" s="603"/>
      <c r="AE115" s="603"/>
      <c r="AF115" s="603"/>
      <c r="AG115" s="603"/>
      <c r="AH115" s="603"/>
    </row>
    <row r="116" spans="1:34" hidden="1">
      <c r="A116" s="707"/>
      <c r="B116" s="708"/>
      <c r="C116" s="767" t="s">
        <v>1599</v>
      </c>
      <c r="D116" s="615" t="s">
        <v>935</v>
      </c>
      <c r="E116" s="615"/>
      <c r="F116" s="615"/>
      <c r="G116" s="615"/>
      <c r="H116" s="615"/>
      <c r="I116" s="768"/>
      <c r="J116" s="707" t="s">
        <v>390</v>
      </c>
      <c r="K116" s="718">
        <v>0</v>
      </c>
      <c r="L116" s="718">
        <f>IF(K116=0,0,4370)</f>
        <v>0</v>
      </c>
      <c r="M116" s="718">
        <f t="shared" si="7"/>
        <v>0</v>
      </c>
      <c r="N116" s="719">
        <f t="shared" si="8"/>
        <v>0</v>
      </c>
      <c r="O116" s="718">
        <f t="shared" si="9"/>
        <v>0</v>
      </c>
      <c r="P116" s="718">
        <f t="shared" si="6"/>
        <v>0</v>
      </c>
      <c r="Q116" s="718"/>
      <c r="R116" s="579"/>
      <c r="S116" s="579"/>
      <c r="T116" s="601"/>
      <c r="U116" s="601"/>
      <c r="V116" s="601"/>
      <c r="W116" s="601"/>
      <c r="X116" s="603"/>
      <c r="Y116" s="603"/>
      <c r="Z116" s="603"/>
      <c r="AA116" s="603"/>
      <c r="AB116" s="603"/>
      <c r="AC116" s="603"/>
      <c r="AD116" s="603"/>
      <c r="AE116" s="603"/>
      <c r="AF116" s="603"/>
      <c r="AG116" s="603"/>
      <c r="AH116" s="603"/>
    </row>
    <row r="117" spans="1:34" hidden="1">
      <c r="A117" s="707"/>
      <c r="B117" s="708"/>
      <c r="C117" s="767" t="s">
        <v>1600</v>
      </c>
      <c r="D117" s="615" t="s">
        <v>670</v>
      </c>
      <c r="E117" s="615"/>
      <c r="F117" s="615"/>
      <c r="G117" s="615"/>
      <c r="H117" s="615"/>
      <c r="I117" s="768"/>
      <c r="J117" s="707" t="s">
        <v>390</v>
      </c>
      <c r="K117" s="718">
        <v>0</v>
      </c>
      <c r="L117" s="718">
        <f>IF(K117=0,0,4870)</f>
        <v>0</v>
      </c>
      <c r="M117" s="718">
        <f t="shared" si="7"/>
        <v>0</v>
      </c>
      <c r="N117" s="719">
        <f t="shared" si="8"/>
        <v>0</v>
      </c>
      <c r="O117" s="718">
        <f t="shared" si="9"/>
        <v>0</v>
      </c>
      <c r="P117" s="718">
        <f t="shared" si="6"/>
        <v>0</v>
      </c>
      <c r="Q117" s="718"/>
      <c r="R117" s="579"/>
      <c r="S117" s="579"/>
      <c r="T117" s="601"/>
      <c r="U117" s="601"/>
      <c r="V117" s="601"/>
      <c r="W117" s="601"/>
      <c r="X117" s="603"/>
      <c r="Y117" s="603"/>
      <c r="Z117" s="603"/>
      <c r="AA117" s="603"/>
      <c r="AB117" s="603"/>
      <c r="AC117" s="603"/>
      <c r="AD117" s="603"/>
      <c r="AE117" s="603"/>
      <c r="AF117" s="603"/>
      <c r="AG117" s="603"/>
      <c r="AH117" s="603"/>
    </row>
    <row r="118" spans="1:34" hidden="1">
      <c r="A118" s="707"/>
      <c r="B118" s="708"/>
      <c r="C118" s="767" t="s">
        <v>1601</v>
      </c>
      <c r="D118" s="769" t="s">
        <v>1962</v>
      </c>
      <c r="E118" s="615"/>
      <c r="F118" s="615"/>
      <c r="G118" s="615"/>
      <c r="H118" s="615"/>
      <c r="I118" s="768"/>
      <c r="J118" s="707" t="s">
        <v>390</v>
      </c>
      <c r="K118" s="718">
        <v>0</v>
      </c>
      <c r="L118" s="718">
        <f>IF(K118=0,0,3180)</f>
        <v>0</v>
      </c>
      <c r="M118" s="718">
        <f t="shared" si="7"/>
        <v>0</v>
      </c>
      <c r="N118" s="719">
        <f t="shared" si="8"/>
        <v>0</v>
      </c>
      <c r="O118" s="718">
        <f t="shared" si="9"/>
        <v>0</v>
      </c>
      <c r="P118" s="718">
        <f t="shared" si="6"/>
        <v>0</v>
      </c>
      <c r="Q118" s="718"/>
      <c r="R118" s="579"/>
      <c r="S118" s="579"/>
      <c r="T118" s="601"/>
      <c r="U118" s="601"/>
      <c r="V118" s="601"/>
      <c r="W118" s="601"/>
      <c r="X118" s="603"/>
      <c r="Y118" s="603"/>
      <c r="Z118" s="603"/>
      <c r="AA118" s="603"/>
      <c r="AB118" s="603"/>
      <c r="AC118" s="603"/>
      <c r="AD118" s="603"/>
      <c r="AE118" s="603"/>
      <c r="AF118" s="603"/>
      <c r="AG118" s="603"/>
      <c r="AH118" s="603"/>
    </row>
    <row r="119" spans="1:34" hidden="1">
      <c r="A119" s="707"/>
      <c r="B119" s="708"/>
      <c r="C119" s="767" t="s">
        <v>1602</v>
      </c>
      <c r="D119" s="615" t="s">
        <v>671</v>
      </c>
      <c r="E119" s="615"/>
      <c r="F119" s="615"/>
      <c r="G119" s="615"/>
      <c r="H119" s="615"/>
      <c r="I119" s="768"/>
      <c r="J119" s="707" t="s">
        <v>390</v>
      </c>
      <c r="K119" s="718">
        <v>0</v>
      </c>
      <c r="L119" s="718">
        <f>IF(K119=0,0,9640)</f>
        <v>0</v>
      </c>
      <c r="M119" s="718">
        <f t="shared" si="7"/>
        <v>0</v>
      </c>
      <c r="N119" s="719">
        <f t="shared" si="8"/>
        <v>0</v>
      </c>
      <c r="O119" s="718">
        <f t="shared" si="9"/>
        <v>0</v>
      </c>
      <c r="P119" s="718">
        <f t="shared" si="6"/>
        <v>0</v>
      </c>
      <c r="Q119" s="718"/>
      <c r="R119" s="579"/>
      <c r="S119" s="579"/>
      <c r="T119" s="601"/>
      <c r="U119" s="601"/>
      <c r="V119" s="601"/>
      <c r="W119" s="601"/>
      <c r="X119" s="603"/>
      <c r="Y119" s="603"/>
      <c r="Z119" s="603"/>
      <c r="AA119" s="603"/>
      <c r="AB119" s="603"/>
      <c r="AC119" s="603"/>
      <c r="AD119" s="603"/>
      <c r="AE119" s="603"/>
      <c r="AF119" s="603"/>
      <c r="AG119" s="603"/>
      <c r="AH119" s="603"/>
    </row>
    <row r="120" spans="1:34" hidden="1">
      <c r="A120" s="707"/>
      <c r="B120" s="708"/>
      <c r="C120" s="767" t="s">
        <v>1603</v>
      </c>
      <c r="D120" s="615" t="s">
        <v>672</v>
      </c>
      <c r="E120" s="615"/>
      <c r="F120" s="615"/>
      <c r="G120" s="615"/>
      <c r="H120" s="615"/>
      <c r="I120" s="768"/>
      <c r="J120" s="707" t="s">
        <v>390</v>
      </c>
      <c r="K120" s="718">
        <v>0</v>
      </c>
      <c r="L120" s="718">
        <f>IF(K120=0,0,15120)</f>
        <v>0</v>
      </c>
      <c r="M120" s="718">
        <f t="shared" si="7"/>
        <v>0</v>
      </c>
      <c r="N120" s="719">
        <f t="shared" si="8"/>
        <v>0</v>
      </c>
      <c r="O120" s="718">
        <f t="shared" si="9"/>
        <v>0</v>
      </c>
      <c r="P120" s="718">
        <f t="shared" si="6"/>
        <v>0</v>
      </c>
      <c r="Q120" s="718"/>
      <c r="R120" s="579"/>
      <c r="S120" s="579"/>
      <c r="T120" s="601"/>
      <c r="U120" s="601"/>
      <c r="V120" s="601"/>
      <c r="W120" s="601"/>
      <c r="X120" s="603"/>
      <c r="Y120" s="603"/>
      <c r="Z120" s="603"/>
      <c r="AA120" s="603"/>
      <c r="AB120" s="603"/>
      <c r="AC120" s="603"/>
      <c r="AD120" s="603"/>
      <c r="AE120" s="603"/>
      <c r="AF120" s="603"/>
      <c r="AG120" s="603"/>
      <c r="AH120" s="603"/>
    </row>
    <row r="121" spans="1:34" hidden="1">
      <c r="A121" s="707"/>
      <c r="B121" s="708"/>
      <c r="C121" s="767" t="s">
        <v>1604</v>
      </c>
      <c r="D121" s="615" t="s">
        <v>673</v>
      </c>
      <c r="E121" s="615"/>
      <c r="F121" s="615"/>
      <c r="G121" s="615"/>
      <c r="H121" s="615"/>
      <c r="I121" s="768"/>
      <c r="J121" s="707" t="s">
        <v>390</v>
      </c>
      <c r="K121" s="718">
        <v>0</v>
      </c>
      <c r="L121" s="718">
        <f>IF(K121=0,0,20780)</f>
        <v>0</v>
      </c>
      <c r="M121" s="718">
        <f t="shared" si="7"/>
        <v>0</v>
      </c>
      <c r="N121" s="719">
        <f t="shared" si="8"/>
        <v>0</v>
      </c>
      <c r="O121" s="718">
        <f t="shared" si="9"/>
        <v>0</v>
      </c>
      <c r="P121" s="718">
        <f t="shared" si="6"/>
        <v>0</v>
      </c>
      <c r="Q121" s="718"/>
      <c r="R121" s="579"/>
      <c r="S121" s="579"/>
      <c r="T121" s="601"/>
      <c r="U121" s="601"/>
      <c r="V121" s="601"/>
      <c r="W121" s="601"/>
      <c r="X121" s="603"/>
      <c r="Y121" s="603"/>
      <c r="Z121" s="603"/>
      <c r="AA121" s="603"/>
      <c r="AB121" s="603"/>
      <c r="AC121" s="603"/>
      <c r="AD121" s="603"/>
      <c r="AE121" s="603"/>
      <c r="AF121" s="603"/>
      <c r="AG121" s="603"/>
      <c r="AH121" s="603"/>
    </row>
    <row r="122" spans="1:34" hidden="1">
      <c r="A122" s="707"/>
      <c r="B122" s="708"/>
      <c r="C122" s="767" t="s">
        <v>1605</v>
      </c>
      <c r="D122" s="615" t="s">
        <v>674</v>
      </c>
      <c r="E122" s="615"/>
      <c r="F122" s="615"/>
      <c r="G122" s="615"/>
      <c r="H122" s="615"/>
      <c r="I122" s="768"/>
      <c r="J122" s="707" t="s">
        <v>390</v>
      </c>
      <c r="K122" s="718">
        <v>0</v>
      </c>
      <c r="L122" s="718">
        <f>IF(K122=0,0,8910)</f>
        <v>0</v>
      </c>
      <c r="M122" s="718">
        <f t="shared" si="7"/>
        <v>0</v>
      </c>
      <c r="N122" s="719">
        <f t="shared" si="8"/>
        <v>0</v>
      </c>
      <c r="O122" s="718">
        <f t="shared" si="9"/>
        <v>0</v>
      </c>
      <c r="P122" s="718">
        <f t="shared" si="6"/>
        <v>0</v>
      </c>
      <c r="Q122" s="718"/>
      <c r="R122" s="579"/>
      <c r="S122" s="579"/>
      <c r="T122" s="601"/>
      <c r="U122" s="601"/>
      <c r="V122" s="601"/>
      <c r="W122" s="601"/>
      <c r="X122" s="603"/>
      <c r="Y122" s="603"/>
      <c r="Z122" s="603"/>
      <c r="AA122" s="603"/>
      <c r="AB122" s="603"/>
      <c r="AC122" s="603"/>
      <c r="AD122" s="603"/>
      <c r="AE122" s="603"/>
      <c r="AF122" s="603"/>
      <c r="AG122" s="603"/>
      <c r="AH122" s="603"/>
    </row>
    <row r="123" spans="1:34" hidden="1">
      <c r="A123" s="707"/>
      <c r="B123" s="708"/>
      <c r="C123" s="767" t="s">
        <v>1606</v>
      </c>
      <c r="D123" s="615" t="s">
        <v>2069</v>
      </c>
      <c r="E123" s="615"/>
      <c r="F123" s="615"/>
      <c r="G123" s="615"/>
      <c r="H123" s="615"/>
      <c r="I123" s="768"/>
      <c r="J123" s="707" t="s">
        <v>390</v>
      </c>
      <c r="K123" s="718">
        <v>0</v>
      </c>
      <c r="L123" s="718">
        <f>IF(K123=0,0,9640)</f>
        <v>0</v>
      </c>
      <c r="M123" s="718">
        <f t="shared" si="7"/>
        <v>0</v>
      </c>
      <c r="N123" s="719">
        <f t="shared" si="8"/>
        <v>0</v>
      </c>
      <c r="O123" s="718">
        <f t="shared" si="9"/>
        <v>0</v>
      </c>
      <c r="P123" s="718">
        <f t="shared" si="6"/>
        <v>0</v>
      </c>
      <c r="Q123" s="718"/>
      <c r="R123" s="579"/>
      <c r="S123" s="579"/>
      <c r="T123" s="601"/>
      <c r="U123" s="601"/>
      <c r="V123" s="601"/>
      <c r="W123" s="601"/>
      <c r="X123" s="603"/>
      <c r="Y123" s="603"/>
      <c r="Z123" s="603"/>
      <c r="AA123" s="603"/>
      <c r="AB123" s="603"/>
      <c r="AC123" s="603"/>
      <c r="AD123" s="603"/>
      <c r="AE123" s="603"/>
      <c r="AF123" s="603"/>
      <c r="AG123" s="603"/>
      <c r="AH123" s="603"/>
    </row>
    <row r="124" spans="1:34" hidden="1">
      <c r="A124" s="707"/>
      <c r="B124" s="708"/>
      <c r="C124" s="767" t="s">
        <v>1607</v>
      </c>
      <c r="D124" s="615" t="s">
        <v>1971</v>
      </c>
      <c r="E124" s="615"/>
      <c r="F124" s="615"/>
      <c r="G124" s="615"/>
      <c r="H124" s="615"/>
      <c r="I124" s="768"/>
      <c r="J124" s="707" t="s">
        <v>390</v>
      </c>
      <c r="K124" s="718">
        <v>0</v>
      </c>
      <c r="L124" s="718">
        <f>IF(K124=0,0,15120)</f>
        <v>0</v>
      </c>
      <c r="M124" s="718">
        <f>ROUNDDOWN(K124*L124,2)</f>
        <v>0</v>
      </c>
      <c r="N124" s="719">
        <f>IF(K124=0,0,$N$172)</f>
        <v>0</v>
      </c>
      <c r="O124" s="718">
        <f>ROUNDDOWN(L124*N124,2)</f>
        <v>0</v>
      </c>
      <c r="P124" s="718">
        <f>ROUNDDOWN(K124*O124,2)</f>
        <v>0</v>
      </c>
      <c r="Q124" s="718"/>
      <c r="R124" s="1445"/>
      <c r="S124" s="1445"/>
      <c r="T124" s="601"/>
      <c r="U124" s="601"/>
      <c r="V124" s="601"/>
      <c r="W124" s="601"/>
      <c r="X124" s="603"/>
      <c r="Y124" s="603"/>
      <c r="Z124" s="603"/>
      <c r="AA124" s="603"/>
      <c r="AB124" s="603"/>
      <c r="AC124" s="603"/>
      <c r="AD124" s="603"/>
      <c r="AE124" s="603"/>
      <c r="AF124" s="603"/>
      <c r="AG124" s="603"/>
      <c r="AH124" s="603"/>
    </row>
    <row r="125" spans="1:34" hidden="1">
      <c r="A125" s="707"/>
      <c r="B125" s="708"/>
      <c r="C125" s="767" t="s">
        <v>1608</v>
      </c>
      <c r="D125" s="615" t="s">
        <v>930</v>
      </c>
      <c r="E125" s="615"/>
      <c r="F125" s="615"/>
      <c r="G125" s="615"/>
      <c r="H125" s="615"/>
      <c r="I125" s="768"/>
      <c r="J125" s="707" t="s">
        <v>390</v>
      </c>
      <c r="K125" s="718">
        <v>0</v>
      </c>
      <c r="L125" s="718">
        <f>IF(K125=0,0,5740)</f>
        <v>0</v>
      </c>
      <c r="M125" s="718">
        <f t="shared" si="7"/>
        <v>0</v>
      </c>
      <c r="N125" s="719">
        <f t="shared" si="8"/>
        <v>0</v>
      </c>
      <c r="O125" s="718">
        <f t="shared" si="9"/>
        <v>0</v>
      </c>
      <c r="P125" s="718">
        <f t="shared" si="6"/>
        <v>0</v>
      </c>
      <c r="Q125" s="718"/>
      <c r="R125" s="579"/>
      <c r="S125" s="579"/>
      <c r="T125" s="601"/>
      <c r="U125" s="601"/>
      <c r="V125" s="601"/>
      <c r="W125" s="601"/>
      <c r="X125" s="603"/>
      <c r="Y125" s="603"/>
      <c r="Z125" s="603"/>
      <c r="AA125" s="603"/>
      <c r="AB125" s="603"/>
      <c r="AC125" s="603"/>
      <c r="AD125" s="603"/>
      <c r="AE125" s="603"/>
      <c r="AF125" s="603"/>
      <c r="AG125" s="603"/>
      <c r="AH125" s="603"/>
    </row>
    <row r="126" spans="1:34" hidden="1">
      <c r="A126" s="707"/>
      <c r="B126" s="708"/>
      <c r="C126" s="767" t="s">
        <v>1609</v>
      </c>
      <c r="D126" s="615" t="s">
        <v>929</v>
      </c>
      <c r="E126" s="615"/>
      <c r="F126" s="615"/>
      <c r="G126" s="615"/>
      <c r="H126" s="615"/>
      <c r="I126" s="768"/>
      <c r="J126" s="707" t="s">
        <v>390</v>
      </c>
      <c r="K126" s="718">
        <v>0</v>
      </c>
      <c r="L126" s="718">
        <f>IF(K126=0,0,3640)</f>
        <v>0</v>
      </c>
      <c r="M126" s="718">
        <f t="shared" si="7"/>
        <v>0</v>
      </c>
      <c r="N126" s="719">
        <f t="shared" si="8"/>
        <v>0</v>
      </c>
      <c r="O126" s="718">
        <f t="shared" si="9"/>
        <v>0</v>
      </c>
      <c r="P126" s="718">
        <f t="shared" si="6"/>
        <v>0</v>
      </c>
      <c r="Q126" s="718"/>
      <c r="R126" s="579"/>
      <c r="S126" s="579"/>
      <c r="T126" s="601"/>
      <c r="U126" s="601"/>
      <c r="V126" s="601"/>
      <c r="W126" s="601"/>
      <c r="X126" s="603"/>
      <c r="Y126" s="603"/>
      <c r="Z126" s="603"/>
      <c r="AA126" s="603"/>
      <c r="AB126" s="603"/>
      <c r="AC126" s="603"/>
      <c r="AD126" s="603"/>
      <c r="AE126" s="603"/>
      <c r="AF126" s="603"/>
      <c r="AG126" s="603"/>
      <c r="AH126" s="603"/>
    </row>
    <row r="127" spans="1:34" hidden="1">
      <c r="A127" s="707"/>
      <c r="B127" s="708"/>
      <c r="C127" s="767" t="s">
        <v>1610</v>
      </c>
      <c r="D127" s="615" t="s">
        <v>927</v>
      </c>
      <c r="E127" s="615"/>
      <c r="F127" s="615"/>
      <c r="G127" s="615"/>
      <c r="H127" s="615"/>
      <c r="I127" s="768"/>
      <c r="J127" s="707" t="s">
        <v>390</v>
      </c>
      <c r="K127" s="718">
        <v>0</v>
      </c>
      <c r="L127" s="718">
        <f>IF(K127=0,0,4410)</f>
        <v>0</v>
      </c>
      <c r="M127" s="718">
        <f t="shared" si="7"/>
        <v>0</v>
      </c>
      <c r="N127" s="719">
        <f t="shared" si="8"/>
        <v>0</v>
      </c>
      <c r="O127" s="718">
        <f t="shared" si="9"/>
        <v>0</v>
      </c>
      <c r="P127" s="718">
        <f t="shared" si="6"/>
        <v>0</v>
      </c>
      <c r="Q127" s="718"/>
      <c r="R127" s="579"/>
      <c r="S127" s="579"/>
      <c r="T127" s="601"/>
      <c r="U127" s="601"/>
      <c r="V127" s="601"/>
      <c r="W127" s="601"/>
      <c r="X127" s="603"/>
      <c r="Y127" s="603"/>
      <c r="Z127" s="603"/>
      <c r="AA127" s="603"/>
      <c r="AB127" s="603"/>
      <c r="AC127" s="603"/>
      <c r="AD127" s="603"/>
      <c r="AE127" s="603"/>
      <c r="AF127" s="603"/>
      <c r="AG127" s="603"/>
      <c r="AH127" s="603"/>
    </row>
    <row r="128" spans="1:34" hidden="1">
      <c r="A128" s="707"/>
      <c r="B128" s="708"/>
      <c r="C128" s="767" t="s">
        <v>1611</v>
      </c>
      <c r="D128" s="615" t="s">
        <v>928</v>
      </c>
      <c r="E128" s="615"/>
      <c r="F128" s="615"/>
      <c r="G128" s="615"/>
      <c r="H128" s="615"/>
      <c r="I128" s="768"/>
      <c r="J128" s="707" t="s">
        <v>390</v>
      </c>
      <c r="K128" s="718">
        <v>0</v>
      </c>
      <c r="L128" s="718">
        <f>IF(K128=0,0,2620)</f>
        <v>0</v>
      </c>
      <c r="M128" s="718">
        <f t="shared" si="7"/>
        <v>0</v>
      </c>
      <c r="N128" s="719">
        <f t="shared" si="8"/>
        <v>0</v>
      </c>
      <c r="O128" s="718">
        <f t="shared" si="9"/>
        <v>0</v>
      </c>
      <c r="P128" s="718">
        <f t="shared" si="6"/>
        <v>0</v>
      </c>
      <c r="Q128" s="718"/>
      <c r="R128" s="579"/>
      <c r="S128" s="579"/>
      <c r="T128" s="601"/>
      <c r="U128" s="601"/>
      <c r="V128" s="601"/>
      <c r="W128" s="601"/>
      <c r="X128" s="603"/>
      <c r="Y128" s="603"/>
      <c r="Z128" s="603"/>
      <c r="AA128" s="603"/>
      <c r="AB128" s="603"/>
      <c r="AC128" s="603"/>
      <c r="AD128" s="603"/>
      <c r="AE128" s="603"/>
      <c r="AF128" s="603"/>
      <c r="AG128" s="603"/>
      <c r="AH128" s="603"/>
    </row>
    <row r="129" spans="1:34" hidden="1">
      <c r="A129" s="707"/>
      <c r="B129" s="708"/>
      <c r="C129" s="767" t="s">
        <v>1612</v>
      </c>
      <c r="D129" s="615" t="s">
        <v>926</v>
      </c>
      <c r="E129" s="615"/>
      <c r="F129" s="615"/>
      <c r="G129" s="615"/>
      <c r="H129" s="615"/>
      <c r="I129" s="768"/>
      <c r="J129" s="707" t="s">
        <v>390</v>
      </c>
      <c r="K129" s="718">
        <v>0</v>
      </c>
      <c r="L129" s="718">
        <f>IF(K129=0,0,2750)</f>
        <v>0</v>
      </c>
      <c r="M129" s="718">
        <f t="shared" si="7"/>
        <v>0</v>
      </c>
      <c r="N129" s="719">
        <f t="shared" si="8"/>
        <v>0</v>
      </c>
      <c r="O129" s="718">
        <f t="shared" si="9"/>
        <v>0</v>
      </c>
      <c r="P129" s="718">
        <f t="shared" si="6"/>
        <v>0</v>
      </c>
      <c r="Q129" s="718"/>
      <c r="R129" s="579"/>
      <c r="S129" s="579"/>
      <c r="T129" s="601"/>
      <c r="U129" s="601"/>
      <c r="V129" s="601"/>
      <c r="W129" s="601"/>
      <c r="X129" s="603"/>
      <c r="Y129" s="603"/>
      <c r="Z129" s="603"/>
      <c r="AA129" s="603"/>
      <c r="AB129" s="603"/>
      <c r="AC129" s="603"/>
      <c r="AD129" s="603"/>
      <c r="AE129" s="603"/>
      <c r="AF129" s="603"/>
      <c r="AG129" s="603"/>
      <c r="AH129" s="603"/>
    </row>
    <row r="130" spans="1:34" hidden="1">
      <c r="A130" s="707"/>
      <c r="B130" s="708"/>
      <c r="C130" s="767" t="s">
        <v>1613</v>
      </c>
      <c r="D130" s="615" t="s">
        <v>675</v>
      </c>
      <c r="E130" s="615"/>
      <c r="F130" s="615"/>
      <c r="G130" s="615"/>
      <c r="H130" s="615"/>
      <c r="I130" s="768"/>
      <c r="J130" s="707" t="s">
        <v>390</v>
      </c>
      <c r="K130" s="718">
        <v>0</v>
      </c>
      <c r="L130" s="718">
        <f>IF(K130=0,0,2700)</f>
        <v>0</v>
      </c>
      <c r="M130" s="718">
        <f t="shared" si="7"/>
        <v>0</v>
      </c>
      <c r="N130" s="719">
        <f t="shared" si="8"/>
        <v>0</v>
      </c>
      <c r="O130" s="718">
        <f t="shared" si="9"/>
        <v>0</v>
      </c>
      <c r="P130" s="718">
        <f t="shared" si="6"/>
        <v>0</v>
      </c>
      <c r="Q130" s="718"/>
      <c r="R130" s="579"/>
      <c r="S130" s="579"/>
      <c r="T130" s="601"/>
      <c r="U130" s="601"/>
      <c r="V130" s="601"/>
      <c r="W130" s="601"/>
      <c r="X130" s="603"/>
      <c r="Y130" s="603"/>
      <c r="Z130" s="603"/>
      <c r="AA130" s="603"/>
      <c r="AB130" s="603"/>
      <c r="AC130" s="603"/>
      <c r="AD130" s="603"/>
      <c r="AE130" s="603"/>
      <c r="AF130" s="603"/>
      <c r="AG130" s="603"/>
      <c r="AH130" s="603"/>
    </row>
    <row r="131" spans="1:34" hidden="1">
      <c r="A131" s="707"/>
      <c r="B131" s="708"/>
      <c r="C131" s="767" t="s">
        <v>1614</v>
      </c>
      <c r="D131" s="615" t="s">
        <v>1928</v>
      </c>
      <c r="E131" s="615"/>
      <c r="F131" s="615"/>
      <c r="G131" s="615"/>
      <c r="H131" s="615"/>
      <c r="I131" s="768"/>
      <c r="J131" s="707" t="s">
        <v>390</v>
      </c>
      <c r="K131" s="718">
        <v>0</v>
      </c>
      <c r="L131" s="718">
        <f>IF(K131=0,0,ราคาต้นทุนงานทาง!K755)</f>
        <v>0</v>
      </c>
      <c r="M131" s="718">
        <f>ROUNDDOWN(K131*L131,2)</f>
        <v>0</v>
      </c>
      <c r="N131" s="719">
        <f>IF(K131=0,0,$N$172)</f>
        <v>0</v>
      </c>
      <c r="O131" s="718">
        <f>ROUNDDOWN(L131*N131,2)</f>
        <v>0</v>
      </c>
      <c r="P131" s="718">
        <f>ROUNDDOWN(K131*O131,2)</f>
        <v>0</v>
      </c>
      <c r="Q131" s="718"/>
      <c r="R131" s="1346"/>
      <c r="S131" s="1346"/>
      <c r="T131" s="601"/>
      <c r="U131" s="601"/>
      <c r="V131" s="601"/>
      <c r="W131" s="601"/>
      <c r="X131" s="603"/>
      <c r="Y131" s="603"/>
      <c r="Z131" s="603"/>
      <c r="AA131" s="603"/>
      <c r="AB131" s="603"/>
      <c r="AC131" s="603"/>
      <c r="AD131" s="603"/>
      <c r="AE131" s="603"/>
      <c r="AF131" s="603"/>
      <c r="AG131" s="603"/>
      <c r="AH131" s="603"/>
    </row>
    <row r="132" spans="1:34" hidden="1">
      <c r="A132" s="707"/>
      <c r="B132" s="708"/>
      <c r="C132" s="767" t="s">
        <v>1615</v>
      </c>
      <c r="D132" s="709" t="s">
        <v>479</v>
      </c>
      <c r="E132" s="709"/>
      <c r="F132" s="709"/>
      <c r="G132" s="709"/>
      <c r="H132" s="709"/>
      <c r="I132" s="710"/>
      <c r="J132" s="707" t="s">
        <v>480</v>
      </c>
      <c r="K132" s="718">
        <v>0</v>
      </c>
      <c r="L132" s="718">
        <f>IF(K132=0,0,740)</f>
        <v>0</v>
      </c>
      <c r="M132" s="718">
        <f>ROUNDDOWN(K132*L132,2)</f>
        <v>0</v>
      </c>
      <c r="N132" s="719">
        <f t="shared" ref="N132:N141" si="10">IF(K132=0,0,$N$172)</f>
        <v>0</v>
      </c>
      <c r="O132" s="718">
        <f>ROUNDDOWN(L132*N132,2)</f>
        <v>0</v>
      </c>
      <c r="P132" s="718">
        <f t="shared" si="6"/>
        <v>0</v>
      </c>
      <c r="Q132" s="718"/>
      <c r="T132" s="603"/>
      <c r="U132" s="603"/>
      <c r="V132" s="603"/>
      <c r="W132" s="603"/>
      <c r="X132" s="603"/>
      <c r="Y132" s="603"/>
      <c r="Z132" s="603"/>
      <c r="AA132" s="603"/>
      <c r="AB132" s="603"/>
      <c r="AC132" s="603"/>
      <c r="AD132" s="603"/>
      <c r="AE132" s="603"/>
      <c r="AF132" s="603"/>
      <c r="AG132" s="603"/>
      <c r="AH132" s="603"/>
    </row>
    <row r="133" spans="1:34" hidden="1">
      <c r="A133" s="707"/>
      <c r="B133" s="708"/>
      <c r="C133" s="767" t="s">
        <v>1616</v>
      </c>
      <c r="D133" s="709" t="s">
        <v>676</v>
      </c>
      <c r="E133" s="709"/>
      <c r="F133" s="709"/>
      <c r="G133" s="709"/>
      <c r="H133" s="709"/>
      <c r="I133" s="710"/>
      <c r="J133" s="707" t="s">
        <v>480</v>
      </c>
      <c r="K133" s="718">
        <v>0</v>
      </c>
      <c r="L133" s="718">
        <f>IF(K133=0,0,2290)</f>
        <v>0</v>
      </c>
      <c r="M133" s="718">
        <f>ROUNDDOWN(K133*L133,2)</f>
        <v>0</v>
      </c>
      <c r="N133" s="719">
        <f t="shared" si="10"/>
        <v>0</v>
      </c>
      <c r="O133" s="718">
        <f>ROUNDDOWN(L133*N133,2)</f>
        <v>0</v>
      </c>
      <c r="P133" s="718">
        <f t="shared" si="6"/>
        <v>0</v>
      </c>
      <c r="Q133" s="718"/>
      <c r="T133" s="603"/>
      <c r="U133" s="603"/>
      <c r="V133" s="603"/>
      <c r="W133" s="603"/>
      <c r="X133" s="603"/>
      <c r="Y133" s="603"/>
      <c r="Z133" s="603"/>
      <c r="AA133" s="603"/>
      <c r="AB133" s="603"/>
      <c r="AC133" s="603"/>
      <c r="AD133" s="603"/>
      <c r="AE133" s="603"/>
      <c r="AF133" s="603"/>
      <c r="AG133" s="603"/>
      <c r="AH133" s="603"/>
    </row>
    <row r="134" spans="1:34" hidden="1">
      <c r="A134" s="707"/>
      <c r="B134" s="708"/>
      <c r="C134" s="767" t="s">
        <v>1617</v>
      </c>
      <c r="D134" s="709" t="s">
        <v>677</v>
      </c>
      <c r="E134" s="709"/>
      <c r="F134" s="709"/>
      <c r="G134" s="709"/>
      <c r="H134" s="709"/>
      <c r="I134" s="710"/>
      <c r="J134" s="707" t="s">
        <v>480</v>
      </c>
      <c r="K134" s="718">
        <v>0</v>
      </c>
      <c r="L134" s="718">
        <f>IF(K134=0,0,330)</f>
        <v>0</v>
      </c>
      <c r="M134" s="718">
        <f>K134*L134</f>
        <v>0</v>
      </c>
      <c r="N134" s="719">
        <f t="shared" si="10"/>
        <v>0</v>
      </c>
      <c r="O134" s="718">
        <f>ROUND(L134*N134,2)</f>
        <v>0</v>
      </c>
      <c r="P134" s="718">
        <f t="shared" si="6"/>
        <v>0</v>
      </c>
      <c r="Q134" s="718"/>
      <c r="T134" s="603"/>
      <c r="U134" s="603"/>
      <c r="V134" s="603"/>
      <c r="W134" s="603"/>
      <c r="X134" s="603"/>
      <c r="Y134" s="603"/>
      <c r="Z134" s="603"/>
      <c r="AA134" s="603"/>
      <c r="AB134" s="603"/>
      <c r="AC134" s="603"/>
      <c r="AD134" s="603"/>
      <c r="AE134" s="603"/>
      <c r="AF134" s="603"/>
      <c r="AG134" s="603"/>
      <c r="AH134" s="603"/>
    </row>
    <row r="135" spans="1:34" hidden="1">
      <c r="A135" s="707"/>
      <c r="B135" s="739"/>
      <c r="C135" s="767" t="s">
        <v>1618</v>
      </c>
      <c r="D135" s="709" t="s">
        <v>1646</v>
      </c>
      <c r="E135" s="709"/>
      <c r="F135" s="709"/>
      <c r="G135" s="709"/>
      <c r="H135" s="709"/>
      <c r="I135" s="710"/>
      <c r="J135" s="707" t="s">
        <v>17</v>
      </c>
      <c r="K135" s="718">
        <v>0</v>
      </c>
      <c r="L135" s="718">
        <f>IF(K135=0,0,1780)</f>
        <v>0</v>
      </c>
      <c r="M135" s="718">
        <f>K135*L135</f>
        <v>0</v>
      </c>
      <c r="N135" s="719">
        <f t="shared" si="10"/>
        <v>0</v>
      </c>
      <c r="O135" s="718">
        <f>ROUND(L135*N135,2)</f>
        <v>0</v>
      </c>
      <c r="P135" s="718">
        <f t="shared" si="6"/>
        <v>0</v>
      </c>
      <c r="Q135" s="718"/>
      <c r="T135" s="603"/>
      <c r="U135" s="603"/>
      <c r="V135" s="603"/>
      <c r="W135" s="603"/>
      <c r="X135" s="603"/>
      <c r="Y135" s="603"/>
      <c r="Z135" s="603"/>
      <c r="AA135" s="603"/>
      <c r="AB135" s="603"/>
      <c r="AC135" s="603"/>
      <c r="AD135" s="603"/>
      <c r="AE135" s="603"/>
      <c r="AF135" s="603"/>
      <c r="AG135" s="603"/>
      <c r="AH135" s="603"/>
    </row>
    <row r="136" spans="1:34" hidden="1">
      <c r="A136" s="707"/>
      <c r="B136" s="739"/>
      <c r="C136" s="767" t="s">
        <v>1619</v>
      </c>
      <c r="D136" s="709" t="s">
        <v>1647</v>
      </c>
      <c r="E136" s="709"/>
      <c r="F136" s="709"/>
      <c r="G136" s="709"/>
      <c r="H136" s="709"/>
      <c r="I136" s="710"/>
      <c r="J136" s="707" t="s">
        <v>17</v>
      </c>
      <c r="K136" s="718">
        <v>0</v>
      </c>
      <c r="L136" s="718">
        <f>IF(K136=0,0,1400)</f>
        <v>0</v>
      </c>
      <c r="M136" s="718">
        <f>K136*L136</f>
        <v>0</v>
      </c>
      <c r="N136" s="719">
        <f t="shared" si="10"/>
        <v>0</v>
      </c>
      <c r="O136" s="718">
        <f>ROUND(L136*N136,2)</f>
        <v>0</v>
      </c>
      <c r="P136" s="718">
        <f t="shared" si="6"/>
        <v>0</v>
      </c>
      <c r="Q136" s="718"/>
      <c r="T136" s="603"/>
      <c r="U136" s="603"/>
      <c r="V136" s="603"/>
      <c r="W136" s="603"/>
      <c r="X136" s="603"/>
      <c r="Y136" s="603"/>
      <c r="Z136" s="603"/>
      <c r="AA136" s="603"/>
      <c r="AB136" s="603"/>
      <c r="AC136" s="603"/>
      <c r="AD136" s="603"/>
      <c r="AE136" s="603"/>
      <c r="AF136" s="603"/>
      <c r="AG136" s="603"/>
      <c r="AH136" s="603"/>
    </row>
    <row r="137" spans="1:34" hidden="1">
      <c r="A137" s="707"/>
      <c r="B137" s="739"/>
      <c r="C137" s="767" t="s">
        <v>1623</v>
      </c>
      <c r="D137" s="709" t="s">
        <v>1621</v>
      </c>
      <c r="E137" s="709"/>
      <c r="F137" s="709"/>
      <c r="G137" s="709"/>
      <c r="H137" s="709"/>
      <c r="I137" s="710"/>
      <c r="J137" s="707" t="s">
        <v>699</v>
      </c>
      <c r="K137" s="718">
        <v>0</v>
      </c>
      <c r="L137" s="718">
        <f>IF(K137=0,0,8000)</f>
        <v>0</v>
      </c>
      <c r="M137" s="718">
        <f>ROUNDDOWN(K137*L137,2)</f>
        <v>0</v>
      </c>
      <c r="N137" s="719">
        <f t="shared" si="10"/>
        <v>0</v>
      </c>
      <c r="O137" s="718">
        <f>ROUNDDOWN(L137*N137,2)</f>
        <v>0</v>
      </c>
      <c r="P137" s="718">
        <f t="shared" si="6"/>
        <v>0</v>
      </c>
      <c r="Q137" s="718"/>
      <c r="T137" s="603"/>
      <c r="U137" s="603"/>
      <c r="V137" s="603"/>
      <c r="W137" s="603"/>
      <c r="X137" s="603"/>
      <c r="Y137" s="603"/>
      <c r="Z137" s="603"/>
      <c r="AA137" s="603"/>
      <c r="AB137" s="603"/>
      <c r="AC137" s="603"/>
      <c r="AD137" s="603"/>
      <c r="AE137" s="603"/>
      <c r="AF137" s="603"/>
      <c r="AG137" s="603"/>
      <c r="AH137" s="603"/>
    </row>
    <row r="138" spans="1:34" hidden="1">
      <c r="A138" s="707"/>
      <c r="B138" s="708"/>
      <c r="C138" s="767" t="s">
        <v>1625</v>
      </c>
      <c r="D138" s="709" t="s">
        <v>1620</v>
      </c>
      <c r="E138" s="709"/>
      <c r="F138" s="709"/>
      <c r="G138" s="709"/>
      <c r="H138" s="709"/>
      <c r="I138" s="710"/>
      <c r="J138" s="707" t="s">
        <v>1622</v>
      </c>
      <c r="K138" s="718">
        <v>0</v>
      </c>
      <c r="L138" s="718">
        <f>IF(K138=0,0,215)</f>
        <v>0</v>
      </c>
      <c r="M138" s="718">
        <f>ROUNDDOWN(K138*L138,2)</f>
        <v>0</v>
      </c>
      <c r="N138" s="719">
        <f t="shared" si="10"/>
        <v>0</v>
      </c>
      <c r="O138" s="718">
        <f>ROUNDDOWN(L138*N138,2)</f>
        <v>0</v>
      </c>
      <c r="P138" s="718">
        <f t="shared" si="6"/>
        <v>0</v>
      </c>
      <c r="Q138" s="718"/>
    </row>
    <row r="139" spans="1:34" hidden="1">
      <c r="A139" s="707"/>
      <c r="B139" s="739"/>
      <c r="C139" s="767" t="s">
        <v>1627</v>
      </c>
      <c r="D139" s="709" t="s">
        <v>1624</v>
      </c>
      <c r="E139" s="709"/>
      <c r="F139" s="709"/>
      <c r="G139" s="709"/>
      <c r="H139" s="709"/>
      <c r="I139" s="710"/>
      <c r="J139" s="707" t="s">
        <v>699</v>
      </c>
      <c r="K139" s="718">
        <v>0</v>
      </c>
      <c r="L139" s="718">
        <f>IF(K139=0,0,18200)</f>
        <v>0</v>
      </c>
      <c r="M139" s="718">
        <f>ROUNDDOWN(K139*L139,2)</f>
        <v>0</v>
      </c>
      <c r="N139" s="719">
        <f t="shared" si="10"/>
        <v>0</v>
      </c>
      <c r="O139" s="718">
        <f>ROUNDDOWN(L139*N139,2)</f>
        <v>0</v>
      </c>
      <c r="P139" s="718">
        <f t="shared" si="6"/>
        <v>0</v>
      </c>
      <c r="Q139" s="718"/>
      <c r="T139" s="603"/>
      <c r="U139" s="603"/>
      <c r="V139" s="603"/>
      <c r="W139" s="603"/>
      <c r="X139" s="603"/>
      <c r="Y139" s="603"/>
      <c r="Z139" s="603"/>
      <c r="AA139" s="603"/>
      <c r="AB139" s="603"/>
      <c r="AC139" s="603"/>
      <c r="AD139" s="603"/>
      <c r="AE139" s="603"/>
      <c r="AF139" s="603"/>
      <c r="AG139" s="603"/>
      <c r="AH139" s="603"/>
    </row>
    <row r="140" spans="1:34" hidden="1">
      <c r="A140" s="707"/>
      <c r="B140" s="739"/>
      <c r="C140" s="767" t="s">
        <v>1927</v>
      </c>
      <c r="D140" s="709" t="s">
        <v>1626</v>
      </c>
      <c r="E140" s="709"/>
      <c r="F140" s="709"/>
      <c r="G140" s="709"/>
      <c r="H140" s="709"/>
      <c r="I140" s="710"/>
      <c r="J140" s="707" t="s">
        <v>699</v>
      </c>
      <c r="K140" s="718">
        <v>0</v>
      </c>
      <c r="L140" s="718">
        <f>IF(K140=0,0,5000)</f>
        <v>0</v>
      </c>
      <c r="M140" s="718">
        <f>ROUNDDOWN(K140*L140,2)</f>
        <v>0</v>
      </c>
      <c r="N140" s="719">
        <f t="shared" si="10"/>
        <v>0</v>
      </c>
      <c r="O140" s="718">
        <f>ROUNDDOWN(L140*N140,2)</f>
        <v>0</v>
      </c>
      <c r="P140" s="718">
        <f t="shared" si="6"/>
        <v>0</v>
      </c>
      <c r="Q140" s="718"/>
      <c r="T140" s="603"/>
      <c r="U140" s="603"/>
      <c r="V140" s="603"/>
      <c r="W140" s="603"/>
      <c r="X140" s="603"/>
      <c r="Y140" s="603"/>
      <c r="Z140" s="603"/>
      <c r="AA140" s="603"/>
      <c r="AB140" s="603"/>
      <c r="AC140" s="603"/>
      <c r="AD140" s="603"/>
      <c r="AE140" s="603"/>
      <c r="AF140" s="603"/>
      <c r="AG140" s="603"/>
      <c r="AH140" s="603"/>
    </row>
    <row r="141" spans="1:34" hidden="1">
      <c r="A141" s="707"/>
      <c r="B141" s="732"/>
      <c r="C141" s="767" t="s">
        <v>1972</v>
      </c>
      <c r="D141" s="709" t="s">
        <v>678</v>
      </c>
      <c r="E141" s="709"/>
      <c r="F141" s="709"/>
      <c r="G141" s="709"/>
      <c r="H141" s="709"/>
      <c r="I141" s="710"/>
      <c r="J141" s="707" t="s">
        <v>17</v>
      </c>
      <c r="K141" s="718">
        <v>0</v>
      </c>
      <c r="L141" s="718">
        <f>IF(K141=0,0,890)</f>
        <v>0</v>
      </c>
      <c r="M141" s="718">
        <f>K141*L141</f>
        <v>0</v>
      </c>
      <c r="N141" s="719">
        <f t="shared" si="10"/>
        <v>0</v>
      </c>
      <c r="O141" s="718">
        <f>ROUND(L141*N141,2)</f>
        <v>0</v>
      </c>
      <c r="P141" s="718">
        <f t="shared" si="6"/>
        <v>0</v>
      </c>
      <c r="Q141" s="718"/>
    </row>
    <row r="142" spans="1:34" hidden="1">
      <c r="A142" s="707"/>
      <c r="B142" s="732"/>
      <c r="C142" s="767"/>
      <c r="D142" s="709"/>
      <c r="E142" s="709"/>
      <c r="F142" s="709"/>
      <c r="G142" s="709"/>
      <c r="H142" s="709"/>
      <c r="I142" s="710"/>
      <c r="J142" s="707"/>
      <c r="K142" s="718"/>
      <c r="L142" s="718"/>
      <c r="M142" s="718"/>
      <c r="N142" s="719"/>
      <c r="O142" s="718"/>
      <c r="P142" s="718"/>
      <c r="Q142" s="718"/>
    </row>
    <row r="143" spans="1:34" hidden="1">
      <c r="A143" s="707">
        <v>6</v>
      </c>
      <c r="B143" s="765" t="s">
        <v>679</v>
      </c>
      <c r="D143" s="615"/>
      <c r="E143" s="615"/>
      <c r="F143" s="615"/>
      <c r="G143" s="615"/>
      <c r="H143" s="615"/>
      <c r="I143" s="768"/>
      <c r="J143" s="707"/>
      <c r="K143" s="711"/>
      <c r="L143" s="736"/>
      <c r="M143" s="712"/>
      <c r="N143" s="719"/>
      <c r="O143" s="737"/>
      <c r="P143" s="712"/>
      <c r="Q143" s="712"/>
      <c r="T143" s="668"/>
    </row>
    <row r="144" spans="1:34" hidden="1">
      <c r="A144" s="707"/>
      <c r="B144" s="739">
        <v>6.1</v>
      </c>
      <c r="C144" s="574" t="s">
        <v>680</v>
      </c>
      <c r="D144" s="615"/>
      <c r="E144" s="615"/>
      <c r="F144" s="615"/>
      <c r="G144" s="615"/>
      <c r="H144" s="615"/>
      <c r="I144" s="768"/>
      <c r="J144" s="707"/>
      <c r="K144" s="711"/>
      <c r="L144" s="736"/>
      <c r="M144" s="712"/>
      <c r="N144" s="719"/>
      <c r="O144" s="737"/>
      <c r="P144" s="712"/>
      <c r="Q144" s="712"/>
      <c r="T144" s="668"/>
    </row>
    <row r="145" spans="1:24" hidden="1">
      <c r="A145" s="707"/>
      <c r="B145" s="739"/>
      <c r="C145" s="770" t="s">
        <v>681</v>
      </c>
      <c r="D145" s="615" t="s">
        <v>857</v>
      </c>
      <c r="E145" s="615"/>
      <c r="F145" s="615"/>
      <c r="G145" s="615"/>
      <c r="H145" s="615"/>
      <c r="I145" s="768"/>
      <c r="J145" s="707" t="s">
        <v>390</v>
      </c>
      <c r="K145" s="718">
        <v>0</v>
      </c>
      <c r="L145" s="718">
        <f>IF(K145=0,0,ราคาต้นทุนงานทาง!K768)</f>
        <v>0</v>
      </c>
      <c r="M145" s="718">
        <f>K145*L145</f>
        <v>0</v>
      </c>
      <c r="N145" s="719">
        <f>IF(K145=0,0,$N$172)</f>
        <v>0</v>
      </c>
      <c r="O145" s="718">
        <f>ROUND(L145*N145,2)</f>
        <v>0</v>
      </c>
      <c r="P145" s="718">
        <f>ROUNDDOWN(K145*O145,2)</f>
        <v>0</v>
      </c>
      <c r="Q145" s="718"/>
      <c r="T145" s="668"/>
    </row>
    <row r="146" spans="1:24" hidden="1">
      <c r="A146" s="707"/>
      <c r="B146" s="739"/>
      <c r="C146" s="770" t="s">
        <v>682</v>
      </c>
      <c r="D146" s="615" t="s">
        <v>858</v>
      </c>
      <c r="E146" s="615"/>
      <c r="F146" s="615"/>
      <c r="G146" s="615"/>
      <c r="H146" s="615"/>
      <c r="I146" s="768"/>
      <c r="J146" s="707" t="s">
        <v>390</v>
      </c>
      <c r="K146" s="718">
        <v>0</v>
      </c>
      <c r="L146" s="718">
        <f>IF(K146=0,0,ราคาต้นทุนงานทาง!K780)</f>
        <v>0</v>
      </c>
      <c r="M146" s="718">
        <f>K146*L146</f>
        <v>0</v>
      </c>
      <c r="N146" s="719">
        <f>IF(K146=0,0,$N$172)</f>
        <v>0</v>
      </c>
      <c r="O146" s="718">
        <f>ROUND(L146*N146,2)</f>
        <v>0</v>
      </c>
      <c r="P146" s="718">
        <f>ROUNDDOWN(K146*O146,2)</f>
        <v>0</v>
      </c>
      <c r="Q146" s="718"/>
      <c r="T146" s="668"/>
    </row>
    <row r="147" spans="1:24" hidden="1">
      <c r="A147" s="707"/>
      <c r="B147" s="739">
        <v>6.2</v>
      </c>
      <c r="C147" s="574" t="s">
        <v>713</v>
      </c>
      <c r="D147" s="615"/>
      <c r="E147" s="615"/>
      <c r="F147" s="615"/>
      <c r="G147" s="615"/>
      <c r="H147" s="615"/>
      <c r="I147" s="768"/>
      <c r="J147" s="707" t="s">
        <v>390</v>
      </c>
      <c r="K147" s="718">
        <v>0</v>
      </c>
      <c r="L147" s="718">
        <f>IF(K147=0,0,ราคาต้นทุนงานทาง!K796)</f>
        <v>0</v>
      </c>
      <c r="M147" s="718">
        <f>K147*L147</f>
        <v>0</v>
      </c>
      <c r="N147" s="719">
        <f>IF(K147=0,0,$N$172)</f>
        <v>0</v>
      </c>
      <c r="O147" s="718">
        <f>ROUND(L147*N147,2)</f>
        <v>0</v>
      </c>
      <c r="P147" s="718">
        <f>ROUNDDOWN(K147*O147,2)</f>
        <v>0</v>
      </c>
      <c r="Q147" s="718"/>
      <c r="T147" s="668"/>
    </row>
    <row r="148" spans="1:24" hidden="1">
      <c r="A148" s="707"/>
      <c r="B148" s="739">
        <v>6.3</v>
      </c>
      <c r="C148" s="574" t="s">
        <v>683</v>
      </c>
      <c r="D148" s="615"/>
      <c r="E148" s="615"/>
      <c r="F148" s="615"/>
      <c r="G148" s="615"/>
      <c r="H148" s="615"/>
      <c r="I148" s="768"/>
      <c r="J148" s="707" t="s">
        <v>390</v>
      </c>
      <c r="K148" s="718">
        <v>0</v>
      </c>
      <c r="L148" s="718">
        <f>IF(K148=0,0,ราคาต้นทุนงานทาง!K804)</f>
        <v>0</v>
      </c>
      <c r="M148" s="718">
        <f>K148*L148</f>
        <v>0</v>
      </c>
      <c r="N148" s="719">
        <f>IF(K148=0,0,$N$172)</f>
        <v>0</v>
      </c>
      <c r="O148" s="718">
        <f>ROUND(L148*N148,2)</f>
        <v>0</v>
      </c>
      <c r="P148" s="718">
        <f>ROUNDDOWN(K148*O148,2)</f>
        <v>0</v>
      </c>
      <c r="Q148" s="718"/>
      <c r="T148" s="668"/>
    </row>
    <row r="149" spans="1:24" hidden="1">
      <c r="A149" s="707"/>
      <c r="B149" s="739">
        <v>6.4</v>
      </c>
      <c r="C149" s="574" t="s">
        <v>881</v>
      </c>
      <c r="D149" s="615"/>
      <c r="E149" s="615"/>
      <c r="F149" s="615"/>
      <c r="G149" s="615"/>
      <c r="H149" s="615"/>
      <c r="I149" s="768"/>
      <c r="J149" s="707"/>
      <c r="K149" s="711"/>
      <c r="L149" s="736"/>
      <c r="M149" s="712"/>
      <c r="N149" s="719"/>
      <c r="O149" s="737"/>
      <c r="P149" s="712"/>
      <c r="Q149" s="712"/>
      <c r="T149" s="668"/>
    </row>
    <row r="150" spans="1:24" hidden="1">
      <c r="A150" s="707"/>
      <c r="B150" s="739"/>
      <c r="C150" s="574" t="s">
        <v>882</v>
      </c>
      <c r="D150" s="615" t="s">
        <v>875</v>
      </c>
      <c r="E150" s="615"/>
      <c r="F150" s="615"/>
      <c r="G150" s="615"/>
      <c r="H150" s="615"/>
      <c r="I150" s="768"/>
      <c r="J150" s="707"/>
      <c r="K150" s="711"/>
      <c r="L150" s="736"/>
      <c r="M150" s="712"/>
      <c r="N150" s="719"/>
      <c r="O150" s="737"/>
      <c r="P150" s="712"/>
      <c r="Q150" s="712"/>
      <c r="T150" s="668"/>
    </row>
    <row r="151" spans="1:24" hidden="1">
      <c r="A151" s="707"/>
      <c r="B151" s="739"/>
      <c r="C151" s="574" t="s">
        <v>886</v>
      </c>
      <c r="D151" s="615" t="s">
        <v>876</v>
      </c>
      <c r="E151" s="615"/>
      <c r="F151" s="615"/>
      <c r="G151" s="615"/>
      <c r="H151" s="615"/>
      <c r="I151" s="768"/>
      <c r="J151" s="707" t="s">
        <v>17</v>
      </c>
      <c r="K151" s="718">
        <v>0</v>
      </c>
      <c r="L151" s="718"/>
      <c r="M151" s="718">
        <f>K151*L151</f>
        <v>0</v>
      </c>
      <c r="N151" s="719">
        <f>IF(K151=0,0,$N$172)</f>
        <v>0</v>
      </c>
      <c r="O151" s="718">
        <f>ROUND(L151*N151,2)</f>
        <v>0</v>
      </c>
      <c r="P151" s="718">
        <f>ROUNDDOWN(K151*O151,2)</f>
        <v>0</v>
      </c>
      <c r="Q151" s="718"/>
      <c r="T151" s="668"/>
    </row>
    <row r="152" spans="1:24" hidden="1">
      <c r="A152" s="707"/>
      <c r="B152" s="739"/>
      <c r="C152" s="574" t="s">
        <v>883</v>
      </c>
      <c r="D152" s="615" t="s">
        <v>877</v>
      </c>
      <c r="E152" s="615"/>
      <c r="F152" s="615"/>
      <c r="G152" s="615"/>
      <c r="H152" s="615"/>
      <c r="I152" s="768"/>
      <c r="J152" s="707"/>
      <c r="K152" s="711"/>
      <c r="L152" s="736"/>
      <c r="M152" s="712"/>
      <c r="N152" s="719"/>
      <c r="O152" s="737"/>
      <c r="P152" s="712"/>
      <c r="Q152" s="712"/>
      <c r="T152" s="668"/>
    </row>
    <row r="153" spans="1:24" hidden="1">
      <c r="A153" s="707"/>
      <c r="B153" s="739"/>
      <c r="C153" s="574" t="s">
        <v>887</v>
      </c>
      <c r="D153" s="615" t="s">
        <v>876</v>
      </c>
      <c r="E153" s="615"/>
      <c r="F153" s="615"/>
      <c r="G153" s="615"/>
      <c r="H153" s="615"/>
      <c r="I153" s="768"/>
      <c r="J153" s="707" t="s">
        <v>17</v>
      </c>
      <c r="K153" s="718">
        <v>0</v>
      </c>
      <c r="L153" s="718"/>
      <c r="M153" s="718">
        <f>K153*L153</f>
        <v>0</v>
      </c>
      <c r="N153" s="719">
        <f>IF(K153=0,0,$N$172)</f>
        <v>0</v>
      </c>
      <c r="O153" s="718">
        <f>ROUND(L153*N153,2)</f>
        <v>0</v>
      </c>
      <c r="P153" s="718">
        <f>ROUNDDOWN(K153*O153,2)</f>
        <v>0</v>
      </c>
      <c r="Q153" s="718"/>
      <c r="T153" s="668"/>
    </row>
    <row r="154" spans="1:24" hidden="1">
      <c r="A154" s="707"/>
      <c r="B154" s="739"/>
      <c r="C154" s="574" t="s">
        <v>884</v>
      </c>
      <c r="D154" s="615" t="s">
        <v>878</v>
      </c>
      <c r="E154" s="615"/>
      <c r="F154" s="615"/>
      <c r="G154" s="615"/>
      <c r="H154" s="615"/>
      <c r="I154" s="768"/>
      <c r="J154" s="707"/>
      <c r="K154" s="711"/>
      <c r="L154" s="736"/>
      <c r="M154" s="712"/>
      <c r="N154" s="719"/>
      <c r="O154" s="737"/>
      <c r="P154" s="712"/>
      <c r="Q154" s="712"/>
      <c r="T154" s="668"/>
    </row>
    <row r="155" spans="1:24" hidden="1">
      <c r="A155" s="707"/>
      <c r="B155" s="739"/>
      <c r="C155" s="574" t="s">
        <v>888</v>
      </c>
      <c r="D155" s="615" t="s">
        <v>876</v>
      </c>
      <c r="E155" s="615"/>
      <c r="F155" s="615"/>
      <c r="G155" s="615"/>
      <c r="H155" s="615"/>
      <c r="I155" s="768"/>
      <c r="J155" s="707" t="s">
        <v>17</v>
      </c>
      <c r="K155" s="718">
        <v>0</v>
      </c>
      <c r="L155" s="718"/>
      <c r="M155" s="718">
        <f>K155*L155</f>
        <v>0</v>
      </c>
      <c r="N155" s="719">
        <f>IF(K155=0,0,$N$172)</f>
        <v>0</v>
      </c>
      <c r="O155" s="718">
        <f>ROUND(L155*N155,2)</f>
        <v>0</v>
      </c>
      <c r="P155" s="718">
        <f>ROUNDDOWN(K155*O155,2)</f>
        <v>0</v>
      </c>
      <c r="Q155" s="718"/>
      <c r="T155" s="668"/>
    </row>
    <row r="156" spans="1:24" hidden="1">
      <c r="A156" s="707"/>
      <c r="B156" s="739"/>
      <c r="C156" s="574" t="s">
        <v>885</v>
      </c>
      <c r="D156" s="615" t="s">
        <v>879</v>
      </c>
      <c r="E156" s="615"/>
      <c r="F156" s="615"/>
      <c r="G156" s="615"/>
      <c r="H156" s="615"/>
      <c r="I156" s="768"/>
      <c r="J156" s="707"/>
      <c r="K156" s="711"/>
      <c r="L156" s="736"/>
      <c r="M156" s="712"/>
      <c r="N156" s="719"/>
      <c r="O156" s="737"/>
      <c r="P156" s="712"/>
      <c r="Q156" s="712"/>
      <c r="T156" s="668"/>
    </row>
    <row r="157" spans="1:24" hidden="1">
      <c r="A157" s="707"/>
      <c r="B157" s="739"/>
      <c r="C157" s="574" t="s">
        <v>889</v>
      </c>
      <c r="D157" s="615" t="s">
        <v>876</v>
      </c>
      <c r="E157" s="615"/>
      <c r="F157" s="615"/>
      <c r="G157" s="615"/>
      <c r="H157" s="615"/>
      <c r="I157" s="768"/>
      <c r="J157" s="707" t="s">
        <v>17</v>
      </c>
      <c r="K157" s="718">
        <v>0</v>
      </c>
      <c r="L157" s="718"/>
      <c r="M157" s="718">
        <f>K157*L157</f>
        <v>0</v>
      </c>
      <c r="N157" s="719">
        <f>IF(K157=0,0,$N$172)</f>
        <v>0</v>
      </c>
      <c r="O157" s="718">
        <f>ROUND(L157*N157,2)</f>
        <v>0</v>
      </c>
      <c r="P157" s="718">
        <f>ROUNDDOWN(K157*O157,2)</f>
        <v>0</v>
      </c>
      <c r="Q157" s="718"/>
      <c r="T157" s="668"/>
    </row>
    <row r="158" spans="1:24" hidden="1">
      <c r="A158" s="707"/>
      <c r="B158" s="739"/>
      <c r="D158" s="615"/>
      <c r="E158" s="615"/>
      <c r="F158" s="615"/>
      <c r="G158" s="615"/>
      <c r="H158" s="615"/>
      <c r="I158" s="768"/>
      <c r="J158" s="707"/>
      <c r="K158" s="718"/>
      <c r="L158" s="718"/>
      <c r="M158" s="718"/>
      <c r="N158" s="719"/>
      <c r="O158" s="718"/>
      <c r="P158" s="718"/>
      <c r="Q158" s="718"/>
      <c r="R158" s="574" t="s">
        <v>1643</v>
      </c>
      <c r="T158" s="668"/>
    </row>
    <row r="159" spans="1:24" hidden="1">
      <c r="A159" s="707">
        <v>7</v>
      </c>
      <c r="B159" s="765" t="s">
        <v>1638</v>
      </c>
      <c r="D159" s="615"/>
      <c r="E159" s="615"/>
      <c r="F159" s="615"/>
      <c r="G159" s="615"/>
      <c r="H159" s="615"/>
      <c r="I159" s="768"/>
      <c r="J159" s="707"/>
      <c r="K159" s="718"/>
      <c r="L159" s="718"/>
      <c r="M159" s="718"/>
      <c r="N159" s="719"/>
      <c r="O159" s="718"/>
      <c r="P159" s="718"/>
      <c r="Q159" s="718"/>
      <c r="R159" s="574" t="s">
        <v>1645</v>
      </c>
      <c r="S159" s="605">
        <f>'ปร.5 ท'!C14</f>
        <v>0</v>
      </c>
      <c r="T159" s="668" t="s">
        <v>1644</v>
      </c>
      <c r="U159" s="605">
        <f>'ปร.5 ท'!E14</f>
        <v>0</v>
      </c>
      <c r="V159" s="574" t="s">
        <v>15</v>
      </c>
      <c r="W159" s="594">
        <f>(U159-S159)*0</f>
        <v>0</v>
      </c>
      <c r="X159" s="574" t="s">
        <v>181</v>
      </c>
    </row>
    <row r="160" spans="1:24" hidden="1">
      <c r="A160" s="707"/>
      <c r="B160" s="739">
        <v>7.1</v>
      </c>
      <c r="C160" s="574" t="s">
        <v>1639</v>
      </c>
      <c r="D160" s="615"/>
      <c r="E160" s="615"/>
      <c r="F160" s="615"/>
      <c r="G160" s="615"/>
      <c r="H160" s="615"/>
      <c r="I160" s="768"/>
      <c r="J160" s="707" t="s">
        <v>7</v>
      </c>
      <c r="K160" s="718">
        <f>ROUNDDOWN(((1.35+U160)*W159*S160),0)</f>
        <v>0</v>
      </c>
      <c r="L160" s="718">
        <f>IF(K160=0,0,ราคาต้นทุนงานทาง!K826)</f>
        <v>0</v>
      </c>
      <c r="M160" s="718">
        <f>K160*L160</f>
        <v>0</v>
      </c>
      <c r="N160" s="719">
        <f>IF(K160=0,0,$N$172)</f>
        <v>0</v>
      </c>
      <c r="O160" s="718">
        <f>ROUND(L160*N160,2)</f>
        <v>0</v>
      </c>
      <c r="P160" s="718">
        <f>ROUNDDOWN(K160*O160,2)</f>
        <v>0</v>
      </c>
      <c r="Q160" s="718"/>
      <c r="R160" s="574" t="s">
        <v>1709</v>
      </c>
      <c r="S160" s="720">
        <v>1</v>
      </c>
      <c r="T160" s="668" t="s">
        <v>1710</v>
      </c>
      <c r="U160" s="720">
        <v>2</v>
      </c>
      <c r="V160" s="574" t="s">
        <v>17</v>
      </c>
    </row>
    <row r="161" spans="1:24" hidden="1">
      <c r="A161" s="707"/>
      <c r="B161" s="739">
        <v>7.2</v>
      </c>
      <c r="C161" s="574" t="s">
        <v>1969</v>
      </c>
      <c r="D161" s="615"/>
      <c r="E161" s="615"/>
      <c r="F161" s="615"/>
      <c r="G161" s="615"/>
      <c r="H161" s="615"/>
      <c r="I161" s="768"/>
      <c r="J161" s="707"/>
      <c r="K161" s="718"/>
      <c r="L161" s="718"/>
      <c r="M161" s="718"/>
      <c r="N161" s="719"/>
      <c r="O161" s="718"/>
      <c r="P161" s="718"/>
      <c r="Q161" s="718"/>
      <c r="T161" s="668"/>
    </row>
    <row r="162" spans="1:24" hidden="1">
      <c r="A162" s="707"/>
      <c r="B162" s="739"/>
      <c r="C162" s="574" t="s">
        <v>1731</v>
      </c>
      <c r="D162" s="615" t="s">
        <v>1732</v>
      </c>
      <c r="E162" s="615"/>
      <c r="F162" s="615"/>
      <c r="G162" s="615"/>
      <c r="H162" s="615"/>
      <c r="I162" s="768"/>
      <c r="J162" s="707"/>
      <c r="K162" s="718"/>
      <c r="L162" s="718"/>
      <c r="M162" s="718"/>
      <c r="N162" s="719"/>
      <c r="O162" s="718"/>
      <c r="P162" s="718"/>
      <c r="Q162" s="718"/>
      <c r="T162" s="668"/>
    </row>
    <row r="163" spans="1:24" hidden="1">
      <c r="A163" s="707"/>
      <c r="B163" s="739"/>
      <c r="C163" s="574" t="s">
        <v>1733</v>
      </c>
      <c r="D163" s="615" t="str">
        <f>"GABION "&amp;FIXED(ราคาต้นทุนงานทาง!Q830,2)&amp;" x "&amp;FIXED(ราคาต้นทุนงานทาง!R830,2)&amp;" x "&amp;FIXED(ราคาต้นทุนงานทาง!S830,2)&amp;" m."</f>
        <v>GABION 3.00 x 1.00 x 1.00 m.</v>
      </c>
      <c r="E163" s="615"/>
      <c r="F163" s="615"/>
      <c r="G163" s="615"/>
      <c r="H163" s="615"/>
      <c r="I163" s="768"/>
      <c r="J163" s="707" t="s">
        <v>1729</v>
      </c>
      <c r="K163" s="718">
        <v>0</v>
      </c>
      <c r="L163" s="718">
        <f>IF(K163=0,0,ราคาต้นทุนงานทาง!K835)</f>
        <v>0</v>
      </c>
      <c r="M163" s="718">
        <f t="shared" ref="M163:M168" si="11">K163*L163</f>
        <v>0</v>
      </c>
      <c r="N163" s="719">
        <f t="shared" ref="N163:N168" si="12">IF(K163=0,0,$N$172)</f>
        <v>0</v>
      </c>
      <c r="O163" s="718">
        <f t="shared" ref="O163:O169" si="13">ROUND(L163*N163,2)</f>
        <v>0</v>
      </c>
      <c r="P163" s="718">
        <f t="shared" ref="P163:P169" si="14">ROUNDDOWN(K163*O163,2)</f>
        <v>0</v>
      </c>
      <c r="Q163" s="718"/>
      <c r="R163" s="574" t="s">
        <v>1734</v>
      </c>
      <c r="S163" s="720">
        <f>ราคาต้นทุนงานทาง!Q830*ราคาต้นทุนงานทาง!R830*ราคาต้นทุนงานทาง!S830</f>
        <v>3</v>
      </c>
      <c r="T163" s="668" t="s">
        <v>1735</v>
      </c>
      <c r="U163" s="720">
        <f>K163*S163</f>
        <v>0</v>
      </c>
      <c r="V163" s="574" t="s">
        <v>6</v>
      </c>
    </row>
    <row r="164" spans="1:24" hidden="1">
      <c r="A164" s="707"/>
      <c r="B164" s="739"/>
      <c r="C164" s="574" t="s">
        <v>1736</v>
      </c>
      <c r="D164" s="615" t="str">
        <f>"GABION "&amp;FIXED(ราคาต้นทุนงานทาง!Q837,2)&amp;" x "&amp;FIXED(ราคาต้นทุนงานทาง!R837,2)&amp;" x "&amp;FIXED(ราคาต้นทุนงานทาง!S837,2)&amp;" m."</f>
        <v>GABION 2.00 x 1.00 x 1.00 m.</v>
      </c>
      <c r="E164" s="615"/>
      <c r="F164" s="615"/>
      <c r="G164" s="615"/>
      <c r="H164" s="615"/>
      <c r="I164" s="768"/>
      <c r="J164" s="707" t="s">
        <v>1729</v>
      </c>
      <c r="K164" s="718">
        <v>0</v>
      </c>
      <c r="L164" s="718">
        <f>IF(K164=0,0,ราคาต้นทุนงานทาง!K842)</f>
        <v>0</v>
      </c>
      <c r="M164" s="718">
        <f t="shared" si="11"/>
        <v>0</v>
      </c>
      <c r="N164" s="719">
        <f t="shared" si="12"/>
        <v>0</v>
      </c>
      <c r="O164" s="718">
        <f t="shared" si="13"/>
        <v>0</v>
      </c>
      <c r="P164" s="718">
        <f t="shared" si="14"/>
        <v>0</v>
      </c>
      <c r="Q164" s="718"/>
      <c r="R164" s="574" t="s">
        <v>1734</v>
      </c>
      <c r="S164" s="720">
        <f>ราคาต้นทุนงานทาง!Q837*ราคาต้นทุนงานทาง!R837*ราคาต้นทุนงานทาง!S837</f>
        <v>2</v>
      </c>
      <c r="T164" s="668" t="s">
        <v>1735</v>
      </c>
      <c r="U164" s="720">
        <f>K164*S164</f>
        <v>0</v>
      </c>
      <c r="V164" s="574" t="s">
        <v>6</v>
      </c>
    </row>
    <row r="165" spans="1:24" hidden="1">
      <c r="A165" s="707"/>
      <c r="B165" s="739"/>
      <c r="C165" s="574" t="s">
        <v>1737</v>
      </c>
      <c r="D165" s="615" t="str">
        <f>"GABION "&amp;FIXED(ราคาต้นทุนงานทาง!Q844,2)&amp;" x "&amp;FIXED(ราคาต้นทุนงานทาง!R844,2)&amp;" x "&amp;FIXED(ราคาต้นทุนงานทาง!S844,2)&amp;" m."</f>
        <v>GABION 2.00 x 1.00 x 0.50 m.</v>
      </c>
      <c r="E165" s="615"/>
      <c r="F165" s="615"/>
      <c r="G165" s="615"/>
      <c r="H165" s="615"/>
      <c r="I165" s="768"/>
      <c r="J165" s="707" t="s">
        <v>1729</v>
      </c>
      <c r="K165" s="718">
        <v>0</v>
      </c>
      <c r="L165" s="718">
        <f>IF(K165=0,0,ราคาต้นทุนงานทาง!K849)</f>
        <v>0</v>
      </c>
      <c r="M165" s="718">
        <f t="shared" si="11"/>
        <v>0</v>
      </c>
      <c r="N165" s="719">
        <f t="shared" si="12"/>
        <v>0</v>
      </c>
      <c r="O165" s="718">
        <f t="shared" si="13"/>
        <v>0</v>
      </c>
      <c r="P165" s="718">
        <f t="shared" si="14"/>
        <v>0</v>
      </c>
      <c r="Q165" s="718"/>
      <c r="R165" s="574" t="s">
        <v>1734</v>
      </c>
      <c r="S165" s="720">
        <f>ราคาต้นทุนงานทาง!Q844*ราคาต้นทุนงานทาง!R844*ราคาต้นทุนงานทาง!S844</f>
        <v>1</v>
      </c>
      <c r="T165" s="668" t="s">
        <v>1735</v>
      </c>
      <c r="U165" s="720">
        <f>K165*S165</f>
        <v>0</v>
      </c>
      <c r="V165" s="574" t="s">
        <v>6</v>
      </c>
    </row>
    <row r="166" spans="1:24" hidden="1">
      <c r="A166" s="707"/>
      <c r="B166" s="739"/>
      <c r="C166" s="574" t="s">
        <v>1738</v>
      </c>
      <c r="D166" s="615" t="s">
        <v>1739</v>
      </c>
      <c r="E166" s="615"/>
      <c r="F166" s="615"/>
      <c r="G166" s="615"/>
      <c r="H166" s="615"/>
      <c r="I166" s="768"/>
      <c r="J166" s="707" t="s">
        <v>6</v>
      </c>
      <c r="K166" s="718">
        <f>T166</f>
        <v>0</v>
      </c>
      <c r="L166" s="718">
        <f>IF(K166=0,0,ราคาต้นทุนงานทาง!K859)</f>
        <v>0</v>
      </c>
      <c r="M166" s="718">
        <f t="shared" si="11"/>
        <v>0</v>
      </c>
      <c r="N166" s="719">
        <f t="shared" si="12"/>
        <v>0</v>
      </c>
      <c r="O166" s="718">
        <f t="shared" si="13"/>
        <v>0</v>
      </c>
      <c r="P166" s="718">
        <f t="shared" si="14"/>
        <v>0</v>
      </c>
      <c r="Q166" s="718"/>
      <c r="R166" s="574" t="s">
        <v>1740</v>
      </c>
      <c r="T166" s="720">
        <f>SUM(U163:U165)</f>
        <v>0</v>
      </c>
      <c r="U166" s="574" t="s">
        <v>6</v>
      </c>
    </row>
    <row r="167" spans="1:24" hidden="1">
      <c r="A167" s="707"/>
      <c r="B167" s="739"/>
      <c r="C167" s="574" t="s">
        <v>1741</v>
      </c>
      <c r="D167" s="615" t="s">
        <v>1742</v>
      </c>
      <c r="E167" s="615"/>
      <c r="F167" s="615"/>
      <c r="G167" s="615"/>
      <c r="H167" s="615"/>
      <c r="I167" s="768"/>
      <c r="J167" s="707" t="s">
        <v>7</v>
      </c>
      <c r="K167" s="718">
        <f>T167</f>
        <v>0</v>
      </c>
      <c r="L167" s="718">
        <f>IF(K167=0,0,ราคาต้นทุนงานทาง!K866)</f>
        <v>0</v>
      </c>
      <c r="M167" s="718">
        <f t="shared" si="11"/>
        <v>0</v>
      </c>
      <c r="N167" s="719">
        <f t="shared" si="12"/>
        <v>0</v>
      </c>
      <c r="O167" s="718">
        <f t="shared" si="13"/>
        <v>0</v>
      </c>
      <c r="P167" s="718">
        <f t="shared" si="14"/>
        <v>0</v>
      </c>
      <c r="Q167" s="718"/>
      <c r="R167" s="574" t="s">
        <v>1743</v>
      </c>
      <c r="T167" s="720">
        <v>0</v>
      </c>
      <c r="U167" s="574" t="s">
        <v>1744</v>
      </c>
    </row>
    <row r="168" spans="1:24" hidden="1">
      <c r="A168" s="707"/>
      <c r="B168" s="739">
        <v>7.3</v>
      </c>
      <c r="C168" s="574" t="s">
        <v>1764</v>
      </c>
      <c r="D168" s="615"/>
      <c r="E168" s="615"/>
      <c r="F168" s="615"/>
      <c r="G168" s="615"/>
      <c r="H168" s="615"/>
      <c r="I168" s="768"/>
      <c r="J168" s="707" t="s">
        <v>7</v>
      </c>
      <c r="K168" s="718">
        <f>W168</f>
        <v>0</v>
      </c>
      <c r="L168" s="718">
        <f>IF(K168=0,0,ราคาต้นทุนงานทาง!K878)</f>
        <v>0</v>
      </c>
      <c r="M168" s="718">
        <f t="shared" si="11"/>
        <v>0</v>
      </c>
      <c r="N168" s="719">
        <f t="shared" si="12"/>
        <v>0</v>
      </c>
      <c r="O168" s="718">
        <f t="shared" si="13"/>
        <v>0</v>
      </c>
      <c r="P168" s="718">
        <f t="shared" si="14"/>
        <v>0</v>
      </c>
      <c r="Q168" s="718"/>
      <c r="R168" s="574" t="s">
        <v>1765</v>
      </c>
      <c r="S168" s="720">
        <v>0</v>
      </c>
      <c r="T168" s="720">
        <v>0</v>
      </c>
      <c r="U168" s="720">
        <v>1</v>
      </c>
      <c r="V168" s="574" t="s">
        <v>1766</v>
      </c>
      <c r="W168" s="720">
        <f>S168*T168</f>
        <v>0</v>
      </c>
      <c r="X168" s="574" t="s">
        <v>7</v>
      </c>
    </row>
    <row r="169" spans="1:24" hidden="1">
      <c r="A169" s="707"/>
      <c r="B169" s="739">
        <v>7.4</v>
      </c>
      <c r="C169" s="574" t="s">
        <v>1796</v>
      </c>
      <c r="D169" s="615"/>
      <c r="E169" s="615"/>
      <c r="F169" s="615"/>
      <c r="G169" s="615"/>
      <c r="H169" s="615"/>
      <c r="I169" s="768"/>
      <c r="J169" s="707" t="s">
        <v>7</v>
      </c>
      <c r="K169" s="718">
        <v>0</v>
      </c>
      <c r="L169" s="718">
        <f>IF(K169=0,0,ราคาต้นทุนงานทาง!K902)</f>
        <v>0</v>
      </c>
      <c r="M169" s="718">
        <f>K169*L169</f>
        <v>0</v>
      </c>
      <c r="N169" s="719">
        <f>IF(K169=0,0,$N$172)</f>
        <v>0</v>
      </c>
      <c r="O169" s="718">
        <f t="shared" si="13"/>
        <v>0</v>
      </c>
      <c r="P169" s="718">
        <f t="shared" si="14"/>
        <v>0</v>
      </c>
      <c r="Q169" s="718"/>
      <c r="S169" s="720"/>
      <c r="T169" s="720"/>
      <c r="U169" s="720"/>
      <c r="W169" s="720"/>
    </row>
    <row r="170" spans="1:24">
      <c r="A170" s="707">
        <v>3</v>
      </c>
      <c r="B170" s="739" t="s">
        <v>2100</v>
      </c>
      <c r="C170" s="574" t="s">
        <v>2101</v>
      </c>
      <c r="D170" s="615"/>
      <c r="E170" s="615"/>
      <c r="F170" s="615"/>
      <c r="G170" s="615"/>
      <c r="H170" s="615"/>
      <c r="I170" s="768"/>
      <c r="J170" s="707" t="s">
        <v>36</v>
      </c>
      <c r="K170" s="711">
        <v>1</v>
      </c>
      <c r="L170" s="736"/>
      <c r="M170" s="712"/>
      <c r="N170" s="719"/>
      <c r="O170" s="737"/>
      <c r="P170" s="712"/>
      <c r="Q170" s="712"/>
      <c r="T170" s="668"/>
    </row>
    <row r="171" spans="1:24">
      <c r="A171" s="771"/>
      <c r="B171" s="772"/>
      <c r="C171" s="773" t="s">
        <v>435</v>
      </c>
      <c r="D171" s="774"/>
      <c r="E171" s="774"/>
      <c r="F171" s="774"/>
      <c r="G171" s="774"/>
      <c r="H171" s="774"/>
      <c r="I171" s="775"/>
      <c r="J171" s="771"/>
      <c r="K171" s="776"/>
      <c r="L171" s="777"/>
      <c r="M171" s="778">
        <f>SUM(M11:M170)</f>
        <v>518779.71</v>
      </c>
      <c r="N171" s="779"/>
      <c r="O171" s="777"/>
      <c r="P171" s="780"/>
      <c r="Q171" s="780"/>
    </row>
    <row r="172" spans="1:24">
      <c r="A172" s="707"/>
      <c r="B172" s="708"/>
      <c r="C172" s="781" t="s">
        <v>905</v>
      </c>
      <c r="D172" s="730"/>
      <c r="E172" s="730"/>
      <c r="F172" s="730"/>
      <c r="G172" s="730"/>
      <c r="H172" s="730"/>
      <c r="I172" s="731"/>
      <c r="J172" s="707"/>
      <c r="K172" s="782"/>
      <c r="L172" s="712"/>
      <c r="M172" s="783"/>
      <c r="N172" s="784">
        <v>1.3794999999999999</v>
      </c>
      <c r="O172" s="714"/>
      <c r="P172" s="714"/>
      <c r="Q172" s="714"/>
    </row>
    <row r="173" spans="1:24">
      <c r="A173" s="785"/>
      <c r="B173" s="786"/>
      <c r="C173" s="787" t="s">
        <v>39</v>
      </c>
      <c r="D173" s="788"/>
      <c r="E173" s="788"/>
      <c r="F173" s="788"/>
      <c r="G173" s="788"/>
      <c r="H173" s="788"/>
      <c r="I173" s="789"/>
      <c r="J173" s="785"/>
      <c r="K173" s="790"/>
      <c r="L173" s="791"/>
      <c r="M173" s="792"/>
      <c r="N173" s="793"/>
      <c r="O173" s="794"/>
      <c r="P173" s="792">
        <f>SUM(P11:P172)</f>
        <v>715574.66</v>
      </c>
      <c r="Q173" s="792"/>
    </row>
    <row r="174" spans="1:24">
      <c r="A174" s="795"/>
      <c r="B174" s="796"/>
      <c r="C174" s="796"/>
      <c r="D174" s="796"/>
      <c r="E174" s="796"/>
      <c r="F174" s="796"/>
      <c r="G174" s="796"/>
      <c r="H174" s="796"/>
      <c r="I174" s="796"/>
      <c r="J174" s="795"/>
      <c r="K174" s="797"/>
      <c r="L174" s="798"/>
      <c r="M174" s="799"/>
      <c r="N174" s="800"/>
      <c r="O174" s="796"/>
      <c r="P174" s="796"/>
      <c r="Q174" s="796"/>
    </row>
    <row r="175" spans="1:24">
      <c r="A175" s="801"/>
      <c r="B175" s="802"/>
      <c r="C175" s="802"/>
      <c r="D175" s="1530"/>
      <c r="E175" s="1530"/>
      <c r="F175" s="1530"/>
      <c r="G175" s="1530"/>
      <c r="H175" s="770"/>
      <c r="J175" s="801"/>
      <c r="K175" s="803"/>
      <c r="L175" s="802"/>
      <c r="M175" s="1529"/>
      <c r="N175" s="1529"/>
      <c r="O175" s="1529"/>
      <c r="P175" s="804"/>
      <c r="Q175" s="804"/>
    </row>
    <row r="176" spans="1:24">
      <c r="A176" s="657"/>
      <c r="B176" s="802"/>
      <c r="C176" s="802"/>
      <c r="D176" s="1530"/>
      <c r="E176" s="1530"/>
      <c r="F176" s="1530"/>
      <c r="G176" s="1530"/>
      <c r="H176" s="770"/>
      <c r="J176" s="657"/>
      <c r="K176" s="653"/>
      <c r="L176" s="802"/>
      <c r="M176" s="1529"/>
      <c r="N176" s="1529"/>
      <c r="O176" s="1529"/>
      <c r="P176" s="652"/>
      <c r="Q176" s="652"/>
    </row>
    <row r="177" spans="1:17">
      <c r="A177" s="657"/>
      <c r="B177" s="802"/>
      <c r="C177" s="802"/>
      <c r="D177" s="1530"/>
      <c r="E177" s="1530"/>
      <c r="F177" s="1530"/>
      <c r="G177" s="1530"/>
      <c r="H177" s="770"/>
      <c r="J177" s="653"/>
      <c r="K177" s="653"/>
      <c r="L177" s="802"/>
      <c r="M177" s="1529"/>
      <c r="N177" s="1529"/>
      <c r="O177" s="1529"/>
      <c r="P177" s="656"/>
      <c r="Q177" s="656"/>
    </row>
  </sheetData>
  <dataConsolidate>
    <dataRefs count="1">
      <dataRef ref="R8:R9" sheet="ปร.4_1"/>
    </dataRefs>
  </dataConsolidate>
  <mergeCells count="13">
    <mergeCell ref="O8:P8"/>
    <mergeCell ref="B8:I9"/>
    <mergeCell ref="A1:Q1"/>
    <mergeCell ref="M175:O175"/>
    <mergeCell ref="A8:A9"/>
    <mergeCell ref="J8:J9"/>
    <mergeCell ref="K8:K9"/>
    <mergeCell ref="L8:M8"/>
    <mergeCell ref="M176:O176"/>
    <mergeCell ref="M177:O177"/>
    <mergeCell ref="D175:G175"/>
    <mergeCell ref="D176:G176"/>
    <mergeCell ref="D177:G177"/>
  </mergeCells>
  <dataValidations disablePrompts="1" count="5">
    <dataValidation type="list" allowBlank="1" showInputMessage="1" showErrorMessage="1" sqref="G68:G70">
      <formula1>ปากท่อ_คสล1</formula1>
    </dataValidation>
    <dataValidation type="list" allowBlank="1" showInputMessage="1" showErrorMessage="1" sqref="D5:D6">
      <formula1>ประเภทผิวจราจร</formula1>
    </dataValidation>
    <dataValidation type="list" allowBlank="1" showInputMessage="1" showErrorMessage="1" sqref="E39 E41">
      <formula1>ความหนา_AC</formula1>
    </dataValidation>
    <dataValidation type="list" allowBlank="1" showInputMessage="1" showErrorMessage="1" sqref="H43">
      <formula1>ความหนาผิวทางคอนกรีต</formula1>
    </dataValidation>
    <dataValidation type="list" allowBlank="1" showInputMessage="1" showErrorMessage="1" sqref="H73">
      <formula1>รางระบายน้ำตัวยู</formula1>
    </dataValidation>
  </dataValidations>
  <printOptions horizontalCentered="1"/>
  <pageMargins left="0.51181102362204722" right="0.19685039370078741" top="0.78740157480314965" bottom="0.19685039370078741" header="0" footer="0"/>
  <pageSetup paperSize="9" scale="70" orientation="portrait" blackAndWhite="1" horizontalDpi="4294967294" r:id="rId1"/>
  <headerFooter>
    <oddHeader xml:space="preserve">&amp;R&amp;"Angsana New,ธรรมดา"&amp;12ปร.4/1 บร แผ่นที่ &amp;P / &amp;N  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AC101"/>
  <sheetViews>
    <sheetView view="pageBreakPreview" zoomScaleSheetLayoutView="100" workbookViewId="0">
      <selection activeCell="H68" sqref="H68"/>
    </sheetView>
  </sheetViews>
  <sheetFormatPr defaultColWidth="12.875" defaultRowHeight="24.75" customHeight="1"/>
  <cols>
    <col min="1" max="1" width="5.75" style="667" customWidth="1"/>
    <col min="2" max="2" width="3.75" style="675" customWidth="1"/>
    <col min="3" max="3" width="5.75" style="667" customWidth="1"/>
    <col min="4" max="4" width="3.75" style="667" customWidth="1"/>
    <col min="5" max="9" width="10.75" style="667" customWidth="1"/>
    <col min="10" max="11" width="7.75" style="667" customWidth="1"/>
    <col min="12" max="13" width="10.75" style="667" customWidth="1"/>
    <col min="14" max="14" width="7.25" style="806" customWidth="1"/>
    <col min="15" max="16" width="10.75" style="667" customWidth="1"/>
    <col min="17" max="17" width="7.75" style="667" customWidth="1"/>
    <col min="18" max="18" width="14" style="667" bestFit="1" customWidth="1"/>
    <col min="19" max="23" width="12.875" style="667"/>
    <col min="24" max="26" width="12.875" style="826"/>
    <col min="27" max="27" width="12.625" style="667" customWidth="1"/>
    <col min="28" max="262" width="12.875" style="667"/>
    <col min="263" max="263" width="10.125" style="667" customWidth="1"/>
    <col min="264" max="264" width="3.625" style="667" customWidth="1"/>
    <col min="265" max="265" width="12.125" style="667" customWidth="1"/>
    <col min="266" max="266" width="52.625" style="667" customWidth="1"/>
    <col min="267" max="268" width="8.625" style="667" customWidth="1"/>
    <col min="269" max="269" width="11.75" style="667" customWidth="1"/>
    <col min="270" max="270" width="11.125" style="667" customWidth="1"/>
    <col min="271" max="271" width="8.625" style="667" customWidth="1"/>
    <col min="272" max="272" width="11.875" style="667" customWidth="1"/>
    <col min="273" max="273" width="12" style="667" customWidth="1"/>
    <col min="274" max="274" width="14" style="667" bestFit="1" customWidth="1"/>
    <col min="275" max="518" width="12.875" style="667"/>
    <col min="519" max="519" width="10.125" style="667" customWidth="1"/>
    <col min="520" max="520" width="3.625" style="667" customWidth="1"/>
    <col min="521" max="521" width="12.125" style="667" customWidth="1"/>
    <col min="522" max="522" width="52.625" style="667" customWidth="1"/>
    <col min="523" max="524" width="8.625" style="667" customWidth="1"/>
    <col min="525" max="525" width="11.75" style="667" customWidth="1"/>
    <col min="526" max="526" width="11.125" style="667" customWidth="1"/>
    <col min="527" max="527" width="8.625" style="667" customWidth="1"/>
    <col min="528" max="528" width="11.875" style="667" customWidth="1"/>
    <col min="529" max="529" width="12" style="667" customWidth="1"/>
    <col min="530" max="530" width="14" style="667" bestFit="1" customWidth="1"/>
    <col min="531" max="774" width="12.875" style="667"/>
    <col min="775" max="775" width="10.125" style="667" customWidth="1"/>
    <col min="776" max="776" width="3.625" style="667" customWidth="1"/>
    <col min="777" max="777" width="12.125" style="667" customWidth="1"/>
    <col min="778" max="778" width="52.625" style="667" customWidth="1"/>
    <col min="779" max="780" width="8.625" style="667" customWidth="1"/>
    <col min="781" max="781" width="11.75" style="667" customWidth="1"/>
    <col min="782" max="782" width="11.125" style="667" customWidth="1"/>
    <col min="783" max="783" width="8.625" style="667" customWidth="1"/>
    <col min="784" max="784" width="11.875" style="667" customWidth="1"/>
    <col min="785" max="785" width="12" style="667" customWidth="1"/>
    <col min="786" max="786" width="14" style="667" bestFit="1" customWidth="1"/>
    <col min="787" max="1030" width="12.875" style="667"/>
    <col min="1031" max="1031" width="10.125" style="667" customWidth="1"/>
    <col min="1032" max="1032" width="3.625" style="667" customWidth="1"/>
    <col min="1033" max="1033" width="12.125" style="667" customWidth="1"/>
    <col min="1034" max="1034" width="52.625" style="667" customWidth="1"/>
    <col min="1035" max="1036" width="8.625" style="667" customWidth="1"/>
    <col min="1037" max="1037" width="11.75" style="667" customWidth="1"/>
    <col min="1038" max="1038" width="11.125" style="667" customWidth="1"/>
    <col min="1039" max="1039" width="8.625" style="667" customWidth="1"/>
    <col min="1040" max="1040" width="11.875" style="667" customWidth="1"/>
    <col min="1041" max="1041" width="12" style="667" customWidth="1"/>
    <col min="1042" max="1042" width="14" style="667" bestFit="1" customWidth="1"/>
    <col min="1043" max="1286" width="12.875" style="667"/>
    <col min="1287" max="1287" width="10.125" style="667" customWidth="1"/>
    <col min="1288" max="1288" width="3.625" style="667" customWidth="1"/>
    <col min="1289" max="1289" width="12.125" style="667" customWidth="1"/>
    <col min="1290" max="1290" width="52.625" style="667" customWidth="1"/>
    <col min="1291" max="1292" width="8.625" style="667" customWidth="1"/>
    <col min="1293" max="1293" width="11.75" style="667" customWidth="1"/>
    <col min="1294" max="1294" width="11.125" style="667" customWidth="1"/>
    <col min="1295" max="1295" width="8.625" style="667" customWidth="1"/>
    <col min="1296" max="1296" width="11.875" style="667" customWidth="1"/>
    <col min="1297" max="1297" width="12" style="667" customWidth="1"/>
    <col min="1298" max="1298" width="14" style="667" bestFit="1" customWidth="1"/>
    <col min="1299" max="1542" width="12.875" style="667"/>
    <col min="1543" max="1543" width="10.125" style="667" customWidth="1"/>
    <col min="1544" max="1544" width="3.625" style="667" customWidth="1"/>
    <col min="1545" max="1545" width="12.125" style="667" customWidth="1"/>
    <col min="1546" max="1546" width="52.625" style="667" customWidth="1"/>
    <col min="1547" max="1548" width="8.625" style="667" customWidth="1"/>
    <col min="1549" max="1549" width="11.75" style="667" customWidth="1"/>
    <col min="1550" max="1550" width="11.125" style="667" customWidth="1"/>
    <col min="1551" max="1551" width="8.625" style="667" customWidth="1"/>
    <col min="1552" max="1552" width="11.875" style="667" customWidth="1"/>
    <col min="1553" max="1553" width="12" style="667" customWidth="1"/>
    <col min="1554" max="1554" width="14" style="667" bestFit="1" customWidth="1"/>
    <col min="1555" max="1798" width="12.875" style="667"/>
    <col min="1799" max="1799" width="10.125" style="667" customWidth="1"/>
    <col min="1800" max="1800" width="3.625" style="667" customWidth="1"/>
    <col min="1801" max="1801" width="12.125" style="667" customWidth="1"/>
    <col min="1802" max="1802" width="52.625" style="667" customWidth="1"/>
    <col min="1803" max="1804" width="8.625" style="667" customWidth="1"/>
    <col min="1805" max="1805" width="11.75" style="667" customWidth="1"/>
    <col min="1806" max="1806" width="11.125" style="667" customWidth="1"/>
    <col min="1807" max="1807" width="8.625" style="667" customWidth="1"/>
    <col min="1808" max="1808" width="11.875" style="667" customWidth="1"/>
    <col min="1809" max="1809" width="12" style="667" customWidth="1"/>
    <col min="1810" max="1810" width="14" style="667" bestFit="1" customWidth="1"/>
    <col min="1811" max="2054" width="12.875" style="667"/>
    <col min="2055" max="2055" width="10.125" style="667" customWidth="1"/>
    <col min="2056" max="2056" width="3.625" style="667" customWidth="1"/>
    <col min="2057" max="2057" width="12.125" style="667" customWidth="1"/>
    <col min="2058" max="2058" width="52.625" style="667" customWidth="1"/>
    <col min="2059" max="2060" width="8.625" style="667" customWidth="1"/>
    <col min="2061" max="2061" width="11.75" style="667" customWidth="1"/>
    <col min="2062" max="2062" width="11.125" style="667" customWidth="1"/>
    <col min="2063" max="2063" width="8.625" style="667" customWidth="1"/>
    <col min="2064" max="2064" width="11.875" style="667" customWidth="1"/>
    <col min="2065" max="2065" width="12" style="667" customWidth="1"/>
    <col min="2066" max="2066" width="14" style="667" bestFit="1" customWidth="1"/>
    <col min="2067" max="2310" width="12.875" style="667"/>
    <col min="2311" max="2311" width="10.125" style="667" customWidth="1"/>
    <col min="2312" max="2312" width="3.625" style="667" customWidth="1"/>
    <col min="2313" max="2313" width="12.125" style="667" customWidth="1"/>
    <col min="2314" max="2314" width="52.625" style="667" customWidth="1"/>
    <col min="2315" max="2316" width="8.625" style="667" customWidth="1"/>
    <col min="2317" max="2317" width="11.75" style="667" customWidth="1"/>
    <col min="2318" max="2318" width="11.125" style="667" customWidth="1"/>
    <col min="2319" max="2319" width="8.625" style="667" customWidth="1"/>
    <col min="2320" max="2320" width="11.875" style="667" customWidth="1"/>
    <col min="2321" max="2321" width="12" style="667" customWidth="1"/>
    <col min="2322" max="2322" width="14" style="667" bestFit="1" customWidth="1"/>
    <col min="2323" max="2566" width="12.875" style="667"/>
    <col min="2567" max="2567" width="10.125" style="667" customWidth="1"/>
    <col min="2568" max="2568" width="3.625" style="667" customWidth="1"/>
    <col min="2569" max="2569" width="12.125" style="667" customWidth="1"/>
    <col min="2570" max="2570" width="52.625" style="667" customWidth="1"/>
    <col min="2571" max="2572" width="8.625" style="667" customWidth="1"/>
    <col min="2573" max="2573" width="11.75" style="667" customWidth="1"/>
    <col min="2574" max="2574" width="11.125" style="667" customWidth="1"/>
    <col min="2575" max="2575" width="8.625" style="667" customWidth="1"/>
    <col min="2576" max="2576" width="11.875" style="667" customWidth="1"/>
    <col min="2577" max="2577" width="12" style="667" customWidth="1"/>
    <col min="2578" max="2578" width="14" style="667" bestFit="1" customWidth="1"/>
    <col min="2579" max="2822" width="12.875" style="667"/>
    <col min="2823" max="2823" width="10.125" style="667" customWidth="1"/>
    <col min="2824" max="2824" width="3.625" style="667" customWidth="1"/>
    <col min="2825" max="2825" width="12.125" style="667" customWidth="1"/>
    <col min="2826" max="2826" width="52.625" style="667" customWidth="1"/>
    <col min="2827" max="2828" width="8.625" style="667" customWidth="1"/>
    <col min="2829" max="2829" width="11.75" style="667" customWidth="1"/>
    <col min="2830" max="2830" width="11.125" style="667" customWidth="1"/>
    <col min="2831" max="2831" width="8.625" style="667" customWidth="1"/>
    <col min="2832" max="2832" width="11.875" style="667" customWidth="1"/>
    <col min="2833" max="2833" width="12" style="667" customWidth="1"/>
    <col min="2834" max="2834" width="14" style="667" bestFit="1" customWidth="1"/>
    <col min="2835" max="3078" width="12.875" style="667"/>
    <col min="3079" max="3079" width="10.125" style="667" customWidth="1"/>
    <col min="3080" max="3080" width="3.625" style="667" customWidth="1"/>
    <col min="3081" max="3081" width="12.125" style="667" customWidth="1"/>
    <col min="3082" max="3082" width="52.625" style="667" customWidth="1"/>
    <col min="3083" max="3084" width="8.625" style="667" customWidth="1"/>
    <col min="3085" max="3085" width="11.75" style="667" customWidth="1"/>
    <col min="3086" max="3086" width="11.125" style="667" customWidth="1"/>
    <col min="3087" max="3087" width="8.625" style="667" customWidth="1"/>
    <col min="3088" max="3088" width="11.875" style="667" customWidth="1"/>
    <col min="3089" max="3089" width="12" style="667" customWidth="1"/>
    <col min="3090" max="3090" width="14" style="667" bestFit="1" customWidth="1"/>
    <col min="3091" max="3334" width="12.875" style="667"/>
    <col min="3335" max="3335" width="10.125" style="667" customWidth="1"/>
    <col min="3336" max="3336" width="3.625" style="667" customWidth="1"/>
    <col min="3337" max="3337" width="12.125" style="667" customWidth="1"/>
    <col min="3338" max="3338" width="52.625" style="667" customWidth="1"/>
    <col min="3339" max="3340" width="8.625" style="667" customWidth="1"/>
    <col min="3341" max="3341" width="11.75" style="667" customWidth="1"/>
    <col min="3342" max="3342" width="11.125" style="667" customWidth="1"/>
    <col min="3343" max="3343" width="8.625" style="667" customWidth="1"/>
    <col min="3344" max="3344" width="11.875" style="667" customWidth="1"/>
    <col min="3345" max="3345" width="12" style="667" customWidth="1"/>
    <col min="3346" max="3346" width="14" style="667" bestFit="1" customWidth="1"/>
    <col min="3347" max="3590" width="12.875" style="667"/>
    <col min="3591" max="3591" width="10.125" style="667" customWidth="1"/>
    <col min="3592" max="3592" width="3.625" style="667" customWidth="1"/>
    <col min="3593" max="3593" width="12.125" style="667" customWidth="1"/>
    <col min="3594" max="3594" width="52.625" style="667" customWidth="1"/>
    <col min="3595" max="3596" width="8.625" style="667" customWidth="1"/>
    <col min="3597" max="3597" width="11.75" style="667" customWidth="1"/>
    <col min="3598" max="3598" width="11.125" style="667" customWidth="1"/>
    <col min="3599" max="3599" width="8.625" style="667" customWidth="1"/>
    <col min="3600" max="3600" width="11.875" style="667" customWidth="1"/>
    <col min="3601" max="3601" width="12" style="667" customWidth="1"/>
    <col min="3602" max="3602" width="14" style="667" bestFit="1" customWidth="1"/>
    <col min="3603" max="3846" width="12.875" style="667"/>
    <col min="3847" max="3847" width="10.125" style="667" customWidth="1"/>
    <col min="3848" max="3848" width="3.625" style="667" customWidth="1"/>
    <col min="3849" max="3849" width="12.125" style="667" customWidth="1"/>
    <col min="3850" max="3850" width="52.625" style="667" customWidth="1"/>
    <col min="3851" max="3852" width="8.625" style="667" customWidth="1"/>
    <col min="3853" max="3853" width="11.75" style="667" customWidth="1"/>
    <col min="3854" max="3854" width="11.125" style="667" customWidth="1"/>
    <col min="3855" max="3855" width="8.625" style="667" customWidth="1"/>
    <col min="3856" max="3856" width="11.875" style="667" customWidth="1"/>
    <col min="3857" max="3857" width="12" style="667" customWidth="1"/>
    <col min="3858" max="3858" width="14" style="667" bestFit="1" customWidth="1"/>
    <col min="3859" max="4102" width="12.875" style="667"/>
    <col min="4103" max="4103" width="10.125" style="667" customWidth="1"/>
    <col min="4104" max="4104" width="3.625" style="667" customWidth="1"/>
    <col min="4105" max="4105" width="12.125" style="667" customWidth="1"/>
    <col min="4106" max="4106" width="52.625" style="667" customWidth="1"/>
    <col min="4107" max="4108" width="8.625" style="667" customWidth="1"/>
    <col min="4109" max="4109" width="11.75" style="667" customWidth="1"/>
    <col min="4110" max="4110" width="11.125" style="667" customWidth="1"/>
    <col min="4111" max="4111" width="8.625" style="667" customWidth="1"/>
    <col min="4112" max="4112" width="11.875" style="667" customWidth="1"/>
    <col min="4113" max="4113" width="12" style="667" customWidth="1"/>
    <col min="4114" max="4114" width="14" style="667" bestFit="1" customWidth="1"/>
    <col min="4115" max="4358" width="12.875" style="667"/>
    <col min="4359" max="4359" width="10.125" style="667" customWidth="1"/>
    <col min="4360" max="4360" width="3.625" style="667" customWidth="1"/>
    <col min="4361" max="4361" width="12.125" style="667" customWidth="1"/>
    <col min="4362" max="4362" width="52.625" style="667" customWidth="1"/>
    <col min="4363" max="4364" width="8.625" style="667" customWidth="1"/>
    <col min="4365" max="4365" width="11.75" style="667" customWidth="1"/>
    <col min="4366" max="4366" width="11.125" style="667" customWidth="1"/>
    <col min="4367" max="4367" width="8.625" style="667" customWidth="1"/>
    <col min="4368" max="4368" width="11.875" style="667" customWidth="1"/>
    <col min="4369" max="4369" width="12" style="667" customWidth="1"/>
    <col min="4370" max="4370" width="14" style="667" bestFit="1" customWidth="1"/>
    <col min="4371" max="4614" width="12.875" style="667"/>
    <col min="4615" max="4615" width="10.125" style="667" customWidth="1"/>
    <col min="4616" max="4616" width="3.625" style="667" customWidth="1"/>
    <col min="4617" max="4617" width="12.125" style="667" customWidth="1"/>
    <col min="4618" max="4618" width="52.625" style="667" customWidth="1"/>
    <col min="4619" max="4620" width="8.625" style="667" customWidth="1"/>
    <col min="4621" max="4621" width="11.75" style="667" customWidth="1"/>
    <col min="4622" max="4622" width="11.125" style="667" customWidth="1"/>
    <col min="4623" max="4623" width="8.625" style="667" customWidth="1"/>
    <col min="4624" max="4624" width="11.875" style="667" customWidth="1"/>
    <col min="4625" max="4625" width="12" style="667" customWidth="1"/>
    <col min="4626" max="4626" width="14" style="667" bestFit="1" customWidth="1"/>
    <col min="4627" max="4870" width="12.875" style="667"/>
    <col min="4871" max="4871" width="10.125" style="667" customWidth="1"/>
    <col min="4872" max="4872" width="3.625" style="667" customWidth="1"/>
    <col min="4873" max="4873" width="12.125" style="667" customWidth="1"/>
    <col min="4874" max="4874" width="52.625" style="667" customWidth="1"/>
    <col min="4875" max="4876" width="8.625" style="667" customWidth="1"/>
    <col min="4877" max="4877" width="11.75" style="667" customWidth="1"/>
    <col min="4878" max="4878" width="11.125" style="667" customWidth="1"/>
    <col min="4879" max="4879" width="8.625" style="667" customWidth="1"/>
    <col min="4880" max="4880" width="11.875" style="667" customWidth="1"/>
    <col min="4881" max="4881" width="12" style="667" customWidth="1"/>
    <col min="4882" max="4882" width="14" style="667" bestFit="1" customWidth="1"/>
    <col min="4883" max="5126" width="12.875" style="667"/>
    <col min="5127" max="5127" width="10.125" style="667" customWidth="1"/>
    <col min="5128" max="5128" width="3.625" style="667" customWidth="1"/>
    <col min="5129" max="5129" width="12.125" style="667" customWidth="1"/>
    <col min="5130" max="5130" width="52.625" style="667" customWidth="1"/>
    <col min="5131" max="5132" width="8.625" style="667" customWidth="1"/>
    <col min="5133" max="5133" width="11.75" style="667" customWidth="1"/>
    <col min="5134" max="5134" width="11.125" style="667" customWidth="1"/>
    <col min="5135" max="5135" width="8.625" style="667" customWidth="1"/>
    <col min="5136" max="5136" width="11.875" style="667" customWidth="1"/>
    <col min="5137" max="5137" width="12" style="667" customWidth="1"/>
    <col min="5138" max="5138" width="14" style="667" bestFit="1" customWidth="1"/>
    <col min="5139" max="5382" width="12.875" style="667"/>
    <col min="5383" max="5383" width="10.125" style="667" customWidth="1"/>
    <col min="5384" max="5384" width="3.625" style="667" customWidth="1"/>
    <col min="5385" max="5385" width="12.125" style="667" customWidth="1"/>
    <col min="5386" max="5386" width="52.625" style="667" customWidth="1"/>
    <col min="5387" max="5388" width="8.625" style="667" customWidth="1"/>
    <col min="5389" max="5389" width="11.75" style="667" customWidth="1"/>
    <col min="5390" max="5390" width="11.125" style="667" customWidth="1"/>
    <col min="5391" max="5391" width="8.625" style="667" customWidth="1"/>
    <col min="5392" max="5392" width="11.875" style="667" customWidth="1"/>
    <col min="5393" max="5393" width="12" style="667" customWidth="1"/>
    <col min="5394" max="5394" width="14" style="667" bestFit="1" customWidth="1"/>
    <col min="5395" max="5638" width="12.875" style="667"/>
    <col min="5639" max="5639" width="10.125" style="667" customWidth="1"/>
    <col min="5640" max="5640" width="3.625" style="667" customWidth="1"/>
    <col min="5641" max="5641" width="12.125" style="667" customWidth="1"/>
    <col min="5642" max="5642" width="52.625" style="667" customWidth="1"/>
    <col min="5643" max="5644" width="8.625" style="667" customWidth="1"/>
    <col min="5645" max="5645" width="11.75" style="667" customWidth="1"/>
    <col min="5646" max="5646" width="11.125" style="667" customWidth="1"/>
    <col min="5647" max="5647" width="8.625" style="667" customWidth="1"/>
    <col min="5648" max="5648" width="11.875" style="667" customWidth="1"/>
    <col min="5649" max="5649" width="12" style="667" customWidth="1"/>
    <col min="5650" max="5650" width="14" style="667" bestFit="1" customWidth="1"/>
    <col min="5651" max="5894" width="12.875" style="667"/>
    <col min="5895" max="5895" width="10.125" style="667" customWidth="1"/>
    <col min="5896" max="5896" width="3.625" style="667" customWidth="1"/>
    <col min="5897" max="5897" width="12.125" style="667" customWidth="1"/>
    <col min="5898" max="5898" width="52.625" style="667" customWidth="1"/>
    <col min="5899" max="5900" width="8.625" style="667" customWidth="1"/>
    <col min="5901" max="5901" width="11.75" style="667" customWidth="1"/>
    <col min="5902" max="5902" width="11.125" style="667" customWidth="1"/>
    <col min="5903" max="5903" width="8.625" style="667" customWidth="1"/>
    <col min="5904" max="5904" width="11.875" style="667" customWidth="1"/>
    <col min="5905" max="5905" width="12" style="667" customWidth="1"/>
    <col min="5906" max="5906" width="14" style="667" bestFit="1" customWidth="1"/>
    <col min="5907" max="6150" width="12.875" style="667"/>
    <col min="6151" max="6151" width="10.125" style="667" customWidth="1"/>
    <col min="6152" max="6152" width="3.625" style="667" customWidth="1"/>
    <col min="6153" max="6153" width="12.125" style="667" customWidth="1"/>
    <col min="6154" max="6154" width="52.625" style="667" customWidth="1"/>
    <col min="6155" max="6156" width="8.625" style="667" customWidth="1"/>
    <col min="6157" max="6157" width="11.75" style="667" customWidth="1"/>
    <col min="6158" max="6158" width="11.125" style="667" customWidth="1"/>
    <col min="6159" max="6159" width="8.625" style="667" customWidth="1"/>
    <col min="6160" max="6160" width="11.875" style="667" customWidth="1"/>
    <col min="6161" max="6161" width="12" style="667" customWidth="1"/>
    <col min="6162" max="6162" width="14" style="667" bestFit="1" customWidth="1"/>
    <col min="6163" max="6406" width="12.875" style="667"/>
    <col min="6407" max="6407" width="10.125" style="667" customWidth="1"/>
    <col min="6408" max="6408" width="3.625" style="667" customWidth="1"/>
    <col min="6409" max="6409" width="12.125" style="667" customWidth="1"/>
    <col min="6410" max="6410" width="52.625" style="667" customWidth="1"/>
    <col min="6411" max="6412" width="8.625" style="667" customWidth="1"/>
    <col min="6413" max="6413" width="11.75" style="667" customWidth="1"/>
    <col min="6414" max="6414" width="11.125" style="667" customWidth="1"/>
    <col min="6415" max="6415" width="8.625" style="667" customWidth="1"/>
    <col min="6416" max="6416" width="11.875" style="667" customWidth="1"/>
    <col min="6417" max="6417" width="12" style="667" customWidth="1"/>
    <col min="6418" max="6418" width="14" style="667" bestFit="1" customWidth="1"/>
    <col min="6419" max="6662" width="12.875" style="667"/>
    <col min="6663" max="6663" width="10.125" style="667" customWidth="1"/>
    <col min="6664" max="6664" width="3.625" style="667" customWidth="1"/>
    <col min="6665" max="6665" width="12.125" style="667" customWidth="1"/>
    <col min="6666" max="6666" width="52.625" style="667" customWidth="1"/>
    <col min="6667" max="6668" width="8.625" style="667" customWidth="1"/>
    <col min="6669" max="6669" width="11.75" style="667" customWidth="1"/>
    <col min="6670" max="6670" width="11.125" style="667" customWidth="1"/>
    <col min="6671" max="6671" width="8.625" style="667" customWidth="1"/>
    <col min="6672" max="6672" width="11.875" style="667" customWidth="1"/>
    <col min="6673" max="6673" width="12" style="667" customWidth="1"/>
    <col min="6674" max="6674" width="14" style="667" bestFit="1" customWidth="1"/>
    <col min="6675" max="6918" width="12.875" style="667"/>
    <col min="6919" max="6919" width="10.125" style="667" customWidth="1"/>
    <col min="6920" max="6920" width="3.625" style="667" customWidth="1"/>
    <col min="6921" max="6921" width="12.125" style="667" customWidth="1"/>
    <col min="6922" max="6922" width="52.625" style="667" customWidth="1"/>
    <col min="6923" max="6924" width="8.625" style="667" customWidth="1"/>
    <col min="6925" max="6925" width="11.75" style="667" customWidth="1"/>
    <col min="6926" max="6926" width="11.125" style="667" customWidth="1"/>
    <col min="6927" max="6927" width="8.625" style="667" customWidth="1"/>
    <col min="6928" max="6928" width="11.875" style="667" customWidth="1"/>
    <col min="6929" max="6929" width="12" style="667" customWidth="1"/>
    <col min="6930" max="6930" width="14" style="667" bestFit="1" customWidth="1"/>
    <col min="6931" max="7174" width="12.875" style="667"/>
    <col min="7175" max="7175" width="10.125" style="667" customWidth="1"/>
    <col min="7176" max="7176" width="3.625" style="667" customWidth="1"/>
    <col min="7177" max="7177" width="12.125" style="667" customWidth="1"/>
    <col min="7178" max="7178" width="52.625" style="667" customWidth="1"/>
    <col min="7179" max="7180" width="8.625" style="667" customWidth="1"/>
    <col min="7181" max="7181" width="11.75" style="667" customWidth="1"/>
    <col min="7182" max="7182" width="11.125" style="667" customWidth="1"/>
    <col min="7183" max="7183" width="8.625" style="667" customWidth="1"/>
    <col min="7184" max="7184" width="11.875" style="667" customWidth="1"/>
    <col min="7185" max="7185" width="12" style="667" customWidth="1"/>
    <col min="7186" max="7186" width="14" style="667" bestFit="1" customWidth="1"/>
    <col min="7187" max="7430" width="12.875" style="667"/>
    <col min="7431" max="7431" width="10.125" style="667" customWidth="1"/>
    <col min="7432" max="7432" width="3.625" style="667" customWidth="1"/>
    <col min="7433" max="7433" width="12.125" style="667" customWidth="1"/>
    <col min="7434" max="7434" width="52.625" style="667" customWidth="1"/>
    <col min="7435" max="7436" width="8.625" style="667" customWidth="1"/>
    <col min="7437" max="7437" width="11.75" style="667" customWidth="1"/>
    <col min="7438" max="7438" width="11.125" style="667" customWidth="1"/>
    <col min="7439" max="7439" width="8.625" style="667" customWidth="1"/>
    <col min="7440" max="7440" width="11.875" style="667" customWidth="1"/>
    <col min="7441" max="7441" width="12" style="667" customWidth="1"/>
    <col min="7442" max="7442" width="14" style="667" bestFit="1" customWidth="1"/>
    <col min="7443" max="7686" width="12.875" style="667"/>
    <col min="7687" max="7687" width="10.125" style="667" customWidth="1"/>
    <col min="7688" max="7688" width="3.625" style="667" customWidth="1"/>
    <col min="7689" max="7689" width="12.125" style="667" customWidth="1"/>
    <col min="7690" max="7690" width="52.625" style="667" customWidth="1"/>
    <col min="7691" max="7692" width="8.625" style="667" customWidth="1"/>
    <col min="7693" max="7693" width="11.75" style="667" customWidth="1"/>
    <col min="7694" max="7694" width="11.125" style="667" customWidth="1"/>
    <col min="7695" max="7695" width="8.625" style="667" customWidth="1"/>
    <col min="7696" max="7696" width="11.875" style="667" customWidth="1"/>
    <col min="7697" max="7697" width="12" style="667" customWidth="1"/>
    <col min="7698" max="7698" width="14" style="667" bestFit="1" customWidth="1"/>
    <col min="7699" max="7942" width="12.875" style="667"/>
    <col min="7943" max="7943" width="10.125" style="667" customWidth="1"/>
    <col min="7944" max="7944" width="3.625" style="667" customWidth="1"/>
    <col min="7945" max="7945" width="12.125" style="667" customWidth="1"/>
    <col min="7946" max="7946" width="52.625" style="667" customWidth="1"/>
    <col min="7947" max="7948" width="8.625" style="667" customWidth="1"/>
    <col min="7949" max="7949" width="11.75" style="667" customWidth="1"/>
    <col min="7950" max="7950" width="11.125" style="667" customWidth="1"/>
    <col min="7951" max="7951" width="8.625" style="667" customWidth="1"/>
    <col min="7952" max="7952" width="11.875" style="667" customWidth="1"/>
    <col min="7953" max="7953" width="12" style="667" customWidth="1"/>
    <col min="7954" max="7954" width="14" style="667" bestFit="1" customWidth="1"/>
    <col min="7955" max="8198" width="12.875" style="667"/>
    <col min="8199" max="8199" width="10.125" style="667" customWidth="1"/>
    <col min="8200" max="8200" width="3.625" style="667" customWidth="1"/>
    <col min="8201" max="8201" width="12.125" style="667" customWidth="1"/>
    <col min="8202" max="8202" width="52.625" style="667" customWidth="1"/>
    <col min="8203" max="8204" width="8.625" style="667" customWidth="1"/>
    <col min="8205" max="8205" width="11.75" style="667" customWidth="1"/>
    <col min="8206" max="8206" width="11.125" style="667" customWidth="1"/>
    <col min="8207" max="8207" width="8.625" style="667" customWidth="1"/>
    <col min="8208" max="8208" width="11.875" style="667" customWidth="1"/>
    <col min="8209" max="8209" width="12" style="667" customWidth="1"/>
    <col min="8210" max="8210" width="14" style="667" bestFit="1" customWidth="1"/>
    <col min="8211" max="8454" width="12.875" style="667"/>
    <col min="8455" max="8455" width="10.125" style="667" customWidth="1"/>
    <col min="8456" max="8456" width="3.625" style="667" customWidth="1"/>
    <col min="8457" max="8457" width="12.125" style="667" customWidth="1"/>
    <col min="8458" max="8458" width="52.625" style="667" customWidth="1"/>
    <col min="8459" max="8460" width="8.625" style="667" customWidth="1"/>
    <col min="8461" max="8461" width="11.75" style="667" customWidth="1"/>
    <col min="8462" max="8462" width="11.125" style="667" customWidth="1"/>
    <col min="8463" max="8463" width="8.625" style="667" customWidth="1"/>
    <col min="8464" max="8464" width="11.875" style="667" customWidth="1"/>
    <col min="8465" max="8465" width="12" style="667" customWidth="1"/>
    <col min="8466" max="8466" width="14" style="667" bestFit="1" customWidth="1"/>
    <col min="8467" max="8710" width="12.875" style="667"/>
    <col min="8711" max="8711" width="10.125" style="667" customWidth="1"/>
    <col min="8712" max="8712" width="3.625" style="667" customWidth="1"/>
    <col min="8713" max="8713" width="12.125" style="667" customWidth="1"/>
    <col min="8714" max="8714" width="52.625" style="667" customWidth="1"/>
    <col min="8715" max="8716" width="8.625" style="667" customWidth="1"/>
    <col min="8717" max="8717" width="11.75" style="667" customWidth="1"/>
    <col min="8718" max="8718" width="11.125" style="667" customWidth="1"/>
    <col min="8719" max="8719" width="8.625" style="667" customWidth="1"/>
    <col min="8720" max="8720" width="11.875" style="667" customWidth="1"/>
    <col min="8721" max="8721" width="12" style="667" customWidth="1"/>
    <col min="8722" max="8722" width="14" style="667" bestFit="1" customWidth="1"/>
    <col min="8723" max="8966" width="12.875" style="667"/>
    <col min="8967" max="8967" width="10.125" style="667" customWidth="1"/>
    <col min="8968" max="8968" width="3.625" style="667" customWidth="1"/>
    <col min="8969" max="8969" width="12.125" style="667" customWidth="1"/>
    <col min="8970" max="8970" width="52.625" style="667" customWidth="1"/>
    <col min="8971" max="8972" width="8.625" style="667" customWidth="1"/>
    <col min="8973" max="8973" width="11.75" style="667" customWidth="1"/>
    <col min="8974" max="8974" width="11.125" style="667" customWidth="1"/>
    <col min="8975" max="8975" width="8.625" style="667" customWidth="1"/>
    <col min="8976" max="8976" width="11.875" style="667" customWidth="1"/>
    <col min="8977" max="8977" width="12" style="667" customWidth="1"/>
    <col min="8978" max="8978" width="14" style="667" bestFit="1" customWidth="1"/>
    <col min="8979" max="9222" width="12.875" style="667"/>
    <col min="9223" max="9223" width="10.125" style="667" customWidth="1"/>
    <col min="9224" max="9224" width="3.625" style="667" customWidth="1"/>
    <col min="9225" max="9225" width="12.125" style="667" customWidth="1"/>
    <col min="9226" max="9226" width="52.625" style="667" customWidth="1"/>
    <col min="9227" max="9228" width="8.625" style="667" customWidth="1"/>
    <col min="9229" max="9229" width="11.75" style="667" customWidth="1"/>
    <col min="9230" max="9230" width="11.125" style="667" customWidth="1"/>
    <col min="9231" max="9231" width="8.625" style="667" customWidth="1"/>
    <col min="9232" max="9232" width="11.875" style="667" customWidth="1"/>
    <col min="9233" max="9233" width="12" style="667" customWidth="1"/>
    <col min="9234" max="9234" width="14" style="667" bestFit="1" customWidth="1"/>
    <col min="9235" max="9478" width="12.875" style="667"/>
    <col min="9479" max="9479" width="10.125" style="667" customWidth="1"/>
    <col min="9480" max="9480" width="3.625" style="667" customWidth="1"/>
    <col min="9481" max="9481" width="12.125" style="667" customWidth="1"/>
    <col min="9482" max="9482" width="52.625" style="667" customWidth="1"/>
    <col min="9483" max="9484" width="8.625" style="667" customWidth="1"/>
    <col min="9485" max="9485" width="11.75" style="667" customWidth="1"/>
    <col min="9486" max="9486" width="11.125" style="667" customWidth="1"/>
    <col min="9487" max="9487" width="8.625" style="667" customWidth="1"/>
    <col min="9488" max="9488" width="11.875" style="667" customWidth="1"/>
    <col min="9489" max="9489" width="12" style="667" customWidth="1"/>
    <col min="9490" max="9490" width="14" style="667" bestFit="1" customWidth="1"/>
    <col min="9491" max="9734" width="12.875" style="667"/>
    <col min="9735" max="9735" width="10.125" style="667" customWidth="1"/>
    <col min="9736" max="9736" width="3.625" style="667" customWidth="1"/>
    <col min="9737" max="9737" width="12.125" style="667" customWidth="1"/>
    <col min="9738" max="9738" width="52.625" style="667" customWidth="1"/>
    <col min="9739" max="9740" width="8.625" style="667" customWidth="1"/>
    <col min="9741" max="9741" width="11.75" style="667" customWidth="1"/>
    <col min="9742" max="9742" width="11.125" style="667" customWidth="1"/>
    <col min="9743" max="9743" width="8.625" style="667" customWidth="1"/>
    <col min="9744" max="9744" width="11.875" style="667" customWidth="1"/>
    <col min="9745" max="9745" width="12" style="667" customWidth="1"/>
    <col min="9746" max="9746" width="14" style="667" bestFit="1" customWidth="1"/>
    <col min="9747" max="9990" width="12.875" style="667"/>
    <col min="9991" max="9991" width="10.125" style="667" customWidth="1"/>
    <col min="9992" max="9992" width="3.625" style="667" customWidth="1"/>
    <col min="9993" max="9993" width="12.125" style="667" customWidth="1"/>
    <col min="9994" max="9994" width="52.625" style="667" customWidth="1"/>
    <col min="9995" max="9996" width="8.625" style="667" customWidth="1"/>
    <col min="9997" max="9997" width="11.75" style="667" customWidth="1"/>
    <col min="9998" max="9998" width="11.125" style="667" customWidth="1"/>
    <col min="9999" max="9999" width="8.625" style="667" customWidth="1"/>
    <col min="10000" max="10000" width="11.875" style="667" customWidth="1"/>
    <col min="10001" max="10001" width="12" style="667" customWidth="1"/>
    <col min="10002" max="10002" width="14" style="667" bestFit="1" customWidth="1"/>
    <col min="10003" max="10246" width="12.875" style="667"/>
    <col min="10247" max="10247" width="10.125" style="667" customWidth="1"/>
    <col min="10248" max="10248" width="3.625" style="667" customWidth="1"/>
    <col min="10249" max="10249" width="12.125" style="667" customWidth="1"/>
    <col min="10250" max="10250" width="52.625" style="667" customWidth="1"/>
    <col min="10251" max="10252" width="8.625" style="667" customWidth="1"/>
    <col min="10253" max="10253" width="11.75" style="667" customWidth="1"/>
    <col min="10254" max="10254" width="11.125" style="667" customWidth="1"/>
    <col min="10255" max="10255" width="8.625" style="667" customWidth="1"/>
    <col min="10256" max="10256" width="11.875" style="667" customWidth="1"/>
    <col min="10257" max="10257" width="12" style="667" customWidth="1"/>
    <col min="10258" max="10258" width="14" style="667" bestFit="1" customWidth="1"/>
    <col min="10259" max="10502" width="12.875" style="667"/>
    <col min="10503" max="10503" width="10.125" style="667" customWidth="1"/>
    <col min="10504" max="10504" width="3.625" style="667" customWidth="1"/>
    <col min="10505" max="10505" width="12.125" style="667" customWidth="1"/>
    <col min="10506" max="10506" width="52.625" style="667" customWidth="1"/>
    <col min="10507" max="10508" width="8.625" style="667" customWidth="1"/>
    <col min="10509" max="10509" width="11.75" style="667" customWidth="1"/>
    <col min="10510" max="10510" width="11.125" style="667" customWidth="1"/>
    <col min="10511" max="10511" width="8.625" style="667" customWidth="1"/>
    <col min="10512" max="10512" width="11.875" style="667" customWidth="1"/>
    <col min="10513" max="10513" width="12" style="667" customWidth="1"/>
    <col min="10514" max="10514" width="14" style="667" bestFit="1" customWidth="1"/>
    <col min="10515" max="10758" width="12.875" style="667"/>
    <col min="10759" max="10759" width="10.125" style="667" customWidth="1"/>
    <col min="10760" max="10760" width="3.625" style="667" customWidth="1"/>
    <col min="10761" max="10761" width="12.125" style="667" customWidth="1"/>
    <col min="10762" max="10762" width="52.625" style="667" customWidth="1"/>
    <col min="10763" max="10764" width="8.625" style="667" customWidth="1"/>
    <col min="10765" max="10765" width="11.75" style="667" customWidth="1"/>
    <col min="10766" max="10766" width="11.125" style="667" customWidth="1"/>
    <col min="10767" max="10767" width="8.625" style="667" customWidth="1"/>
    <col min="10768" max="10768" width="11.875" style="667" customWidth="1"/>
    <col min="10769" max="10769" width="12" style="667" customWidth="1"/>
    <col min="10770" max="10770" width="14" style="667" bestFit="1" customWidth="1"/>
    <col min="10771" max="11014" width="12.875" style="667"/>
    <col min="11015" max="11015" width="10.125" style="667" customWidth="1"/>
    <col min="11016" max="11016" width="3.625" style="667" customWidth="1"/>
    <col min="11017" max="11017" width="12.125" style="667" customWidth="1"/>
    <col min="11018" max="11018" width="52.625" style="667" customWidth="1"/>
    <col min="11019" max="11020" width="8.625" style="667" customWidth="1"/>
    <col min="11021" max="11021" width="11.75" style="667" customWidth="1"/>
    <col min="11022" max="11022" width="11.125" style="667" customWidth="1"/>
    <col min="11023" max="11023" width="8.625" style="667" customWidth="1"/>
    <col min="11024" max="11024" width="11.875" style="667" customWidth="1"/>
    <col min="11025" max="11025" width="12" style="667" customWidth="1"/>
    <col min="11026" max="11026" width="14" style="667" bestFit="1" customWidth="1"/>
    <col min="11027" max="11270" width="12.875" style="667"/>
    <col min="11271" max="11271" width="10.125" style="667" customWidth="1"/>
    <col min="11272" max="11272" width="3.625" style="667" customWidth="1"/>
    <col min="11273" max="11273" width="12.125" style="667" customWidth="1"/>
    <col min="11274" max="11274" width="52.625" style="667" customWidth="1"/>
    <col min="11275" max="11276" width="8.625" style="667" customWidth="1"/>
    <col min="11277" max="11277" width="11.75" style="667" customWidth="1"/>
    <col min="11278" max="11278" width="11.125" style="667" customWidth="1"/>
    <col min="11279" max="11279" width="8.625" style="667" customWidth="1"/>
    <col min="11280" max="11280" width="11.875" style="667" customWidth="1"/>
    <col min="11281" max="11281" width="12" style="667" customWidth="1"/>
    <col min="11282" max="11282" width="14" style="667" bestFit="1" customWidth="1"/>
    <col min="11283" max="11526" width="12.875" style="667"/>
    <col min="11527" max="11527" width="10.125" style="667" customWidth="1"/>
    <col min="11528" max="11528" width="3.625" style="667" customWidth="1"/>
    <col min="11529" max="11529" width="12.125" style="667" customWidth="1"/>
    <col min="11530" max="11530" width="52.625" style="667" customWidth="1"/>
    <col min="11531" max="11532" width="8.625" style="667" customWidth="1"/>
    <col min="11533" max="11533" width="11.75" style="667" customWidth="1"/>
    <col min="11534" max="11534" width="11.125" style="667" customWidth="1"/>
    <col min="11535" max="11535" width="8.625" style="667" customWidth="1"/>
    <col min="11536" max="11536" width="11.875" style="667" customWidth="1"/>
    <col min="11537" max="11537" width="12" style="667" customWidth="1"/>
    <col min="11538" max="11538" width="14" style="667" bestFit="1" customWidth="1"/>
    <col min="11539" max="11782" width="12.875" style="667"/>
    <col min="11783" max="11783" width="10.125" style="667" customWidth="1"/>
    <col min="11784" max="11784" width="3.625" style="667" customWidth="1"/>
    <col min="11785" max="11785" width="12.125" style="667" customWidth="1"/>
    <col min="11786" max="11786" width="52.625" style="667" customWidth="1"/>
    <col min="11787" max="11788" width="8.625" style="667" customWidth="1"/>
    <col min="11789" max="11789" width="11.75" style="667" customWidth="1"/>
    <col min="11790" max="11790" width="11.125" style="667" customWidth="1"/>
    <col min="11791" max="11791" width="8.625" style="667" customWidth="1"/>
    <col min="11792" max="11792" width="11.875" style="667" customWidth="1"/>
    <col min="11793" max="11793" width="12" style="667" customWidth="1"/>
    <col min="11794" max="11794" width="14" style="667" bestFit="1" customWidth="1"/>
    <col min="11795" max="12038" width="12.875" style="667"/>
    <col min="12039" max="12039" width="10.125" style="667" customWidth="1"/>
    <col min="12040" max="12040" width="3.625" style="667" customWidth="1"/>
    <col min="12041" max="12041" width="12.125" style="667" customWidth="1"/>
    <col min="12042" max="12042" width="52.625" style="667" customWidth="1"/>
    <col min="12043" max="12044" width="8.625" style="667" customWidth="1"/>
    <col min="12045" max="12045" width="11.75" style="667" customWidth="1"/>
    <col min="12046" max="12046" width="11.125" style="667" customWidth="1"/>
    <col min="12047" max="12047" width="8.625" style="667" customWidth="1"/>
    <col min="12048" max="12048" width="11.875" style="667" customWidth="1"/>
    <col min="12049" max="12049" width="12" style="667" customWidth="1"/>
    <col min="12050" max="12050" width="14" style="667" bestFit="1" customWidth="1"/>
    <col min="12051" max="12294" width="12.875" style="667"/>
    <col min="12295" max="12295" width="10.125" style="667" customWidth="1"/>
    <col min="12296" max="12296" width="3.625" style="667" customWidth="1"/>
    <col min="12297" max="12297" width="12.125" style="667" customWidth="1"/>
    <col min="12298" max="12298" width="52.625" style="667" customWidth="1"/>
    <col min="12299" max="12300" width="8.625" style="667" customWidth="1"/>
    <col min="12301" max="12301" width="11.75" style="667" customWidth="1"/>
    <col min="12302" max="12302" width="11.125" style="667" customWidth="1"/>
    <col min="12303" max="12303" width="8.625" style="667" customWidth="1"/>
    <col min="12304" max="12304" width="11.875" style="667" customWidth="1"/>
    <col min="12305" max="12305" width="12" style="667" customWidth="1"/>
    <col min="12306" max="12306" width="14" style="667" bestFit="1" customWidth="1"/>
    <col min="12307" max="12550" width="12.875" style="667"/>
    <col min="12551" max="12551" width="10.125" style="667" customWidth="1"/>
    <col min="12552" max="12552" width="3.625" style="667" customWidth="1"/>
    <col min="12553" max="12553" width="12.125" style="667" customWidth="1"/>
    <col min="12554" max="12554" width="52.625" style="667" customWidth="1"/>
    <col min="12555" max="12556" width="8.625" style="667" customWidth="1"/>
    <col min="12557" max="12557" width="11.75" style="667" customWidth="1"/>
    <col min="12558" max="12558" width="11.125" style="667" customWidth="1"/>
    <col min="12559" max="12559" width="8.625" style="667" customWidth="1"/>
    <col min="12560" max="12560" width="11.875" style="667" customWidth="1"/>
    <col min="12561" max="12561" width="12" style="667" customWidth="1"/>
    <col min="12562" max="12562" width="14" style="667" bestFit="1" customWidth="1"/>
    <col min="12563" max="12806" width="12.875" style="667"/>
    <col min="12807" max="12807" width="10.125" style="667" customWidth="1"/>
    <col min="12808" max="12808" width="3.625" style="667" customWidth="1"/>
    <col min="12809" max="12809" width="12.125" style="667" customWidth="1"/>
    <col min="12810" max="12810" width="52.625" style="667" customWidth="1"/>
    <col min="12811" max="12812" width="8.625" style="667" customWidth="1"/>
    <col min="12813" max="12813" width="11.75" style="667" customWidth="1"/>
    <col min="12814" max="12814" width="11.125" style="667" customWidth="1"/>
    <col min="12815" max="12815" width="8.625" style="667" customWidth="1"/>
    <col min="12816" max="12816" width="11.875" style="667" customWidth="1"/>
    <col min="12817" max="12817" width="12" style="667" customWidth="1"/>
    <col min="12818" max="12818" width="14" style="667" bestFit="1" customWidth="1"/>
    <col min="12819" max="13062" width="12.875" style="667"/>
    <col min="13063" max="13063" width="10.125" style="667" customWidth="1"/>
    <col min="13064" max="13064" width="3.625" style="667" customWidth="1"/>
    <col min="13065" max="13065" width="12.125" style="667" customWidth="1"/>
    <col min="13066" max="13066" width="52.625" style="667" customWidth="1"/>
    <col min="13067" max="13068" width="8.625" style="667" customWidth="1"/>
    <col min="13069" max="13069" width="11.75" style="667" customWidth="1"/>
    <col min="13070" max="13070" width="11.125" style="667" customWidth="1"/>
    <col min="13071" max="13071" width="8.625" style="667" customWidth="1"/>
    <col min="13072" max="13072" width="11.875" style="667" customWidth="1"/>
    <col min="13073" max="13073" width="12" style="667" customWidth="1"/>
    <col min="13074" max="13074" width="14" style="667" bestFit="1" customWidth="1"/>
    <col min="13075" max="13318" width="12.875" style="667"/>
    <col min="13319" max="13319" width="10.125" style="667" customWidth="1"/>
    <col min="13320" max="13320" width="3.625" style="667" customWidth="1"/>
    <col min="13321" max="13321" width="12.125" style="667" customWidth="1"/>
    <col min="13322" max="13322" width="52.625" style="667" customWidth="1"/>
    <col min="13323" max="13324" width="8.625" style="667" customWidth="1"/>
    <col min="13325" max="13325" width="11.75" style="667" customWidth="1"/>
    <col min="13326" max="13326" width="11.125" style="667" customWidth="1"/>
    <col min="13327" max="13327" width="8.625" style="667" customWidth="1"/>
    <col min="13328" max="13328" width="11.875" style="667" customWidth="1"/>
    <col min="13329" max="13329" width="12" style="667" customWidth="1"/>
    <col min="13330" max="13330" width="14" style="667" bestFit="1" customWidth="1"/>
    <col min="13331" max="13574" width="12.875" style="667"/>
    <col min="13575" max="13575" width="10.125" style="667" customWidth="1"/>
    <col min="13576" max="13576" width="3.625" style="667" customWidth="1"/>
    <col min="13577" max="13577" width="12.125" style="667" customWidth="1"/>
    <col min="13578" max="13578" width="52.625" style="667" customWidth="1"/>
    <col min="13579" max="13580" width="8.625" style="667" customWidth="1"/>
    <col min="13581" max="13581" width="11.75" style="667" customWidth="1"/>
    <col min="13582" max="13582" width="11.125" style="667" customWidth="1"/>
    <col min="13583" max="13583" width="8.625" style="667" customWidth="1"/>
    <col min="13584" max="13584" width="11.875" style="667" customWidth="1"/>
    <col min="13585" max="13585" width="12" style="667" customWidth="1"/>
    <col min="13586" max="13586" width="14" style="667" bestFit="1" customWidth="1"/>
    <col min="13587" max="13830" width="12.875" style="667"/>
    <col min="13831" max="13831" width="10.125" style="667" customWidth="1"/>
    <col min="13832" max="13832" width="3.625" style="667" customWidth="1"/>
    <col min="13833" max="13833" width="12.125" style="667" customWidth="1"/>
    <col min="13834" max="13834" width="52.625" style="667" customWidth="1"/>
    <col min="13835" max="13836" width="8.625" style="667" customWidth="1"/>
    <col min="13837" max="13837" width="11.75" style="667" customWidth="1"/>
    <col min="13838" max="13838" width="11.125" style="667" customWidth="1"/>
    <col min="13839" max="13839" width="8.625" style="667" customWidth="1"/>
    <col min="13840" max="13840" width="11.875" style="667" customWidth="1"/>
    <col min="13841" max="13841" width="12" style="667" customWidth="1"/>
    <col min="13842" max="13842" width="14" style="667" bestFit="1" customWidth="1"/>
    <col min="13843" max="14086" width="12.875" style="667"/>
    <col min="14087" max="14087" width="10.125" style="667" customWidth="1"/>
    <col min="14088" max="14088" width="3.625" style="667" customWidth="1"/>
    <col min="14089" max="14089" width="12.125" style="667" customWidth="1"/>
    <col min="14090" max="14090" width="52.625" style="667" customWidth="1"/>
    <col min="14091" max="14092" width="8.625" style="667" customWidth="1"/>
    <col min="14093" max="14093" width="11.75" style="667" customWidth="1"/>
    <col min="14094" max="14094" width="11.125" style="667" customWidth="1"/>
    <col min="14095" max="14095" width="8.625" style="667" customWidth="1"/>
    <col min="14096" max="14096" width="11.875" style="667" customWidth="1"/>
    <col min="14097" max="14097" width="12" style="667" customWidth="1"/>
    <col min="14098" max="14098" width="14" style="667" bestFit="1" customWidth="1"/>
    <col min="14099" max="14342" width="12.875" style="667"/>
    <col min="14343" max="14343" width="10.125" style="667" customWidth="1"/>
    <col min="14344" max="14344" width="3.625" style="667" customWidth="1"/>
    <col min="14345" max="14345" width="12.125" style="667" customWidth="1"/>
    <col min="14346" max="14346" width="52.625" style="667" customWidth="1"/>
    <col min="14347" max="14348" width="8.625" style="667" customWidth="1"/>
    <col min="14349" max="14349" width="11.75" style="667" customWidth="1"/>
    <col min="14350" max="14350" width="11.125" style="667" customWidth="1"/>
    <col min="14351" max="14351" width="8.625" style="667" customWidth="1"/>
    <col min="14352" max="14352" width="11.875" style="667" customWidth="1"/>
    <col min="14353" max="14353" width="12" style="667" customWidth="1"/>
    <col min="14354" max="14354" width="14" style="667" bestFit="1" customWidth="1"/>
    <col min="14355" max="14598" width="12.875" style="667"/>
    <col min="14599" max="14599" width="10.125" style="667" customWidth="1"/>
    <col min="14600" max="14600" width="3.625" style="667" customWidth="1"/>
    <col min="14601" max="14601" width="12.125" style="667" customWidth="1"/>
    <col min="14602" max="14602" width="52.625" style="667" customWidth="1"/>
    <col min="14603" max="14604" width="8.625" style="667" customWidth="1"/>
    <col min="14605" max="14605" width="11.75" style="667" customWidth="1"/>
    <col min="14606" max="14606" width="11.125" style="667" customWidth="1"/>
    <col min="14607" max="14607" width="8.625" style="667" customWidth="1"/>
    <col min="14608" max="14608" width="11.875" style="667" customWidth="1"/>
    <col min="14609" max="14609" width="12" style="667" customWidth="1"/>
    <col min="14610" max="14610" width="14" style="667" bestFit="1" customWidth="1"/>
    <col min="14611" max="14854" width="12.875" style="667"/>
    <col min="14855" max="14855" width="10.125" style="667" customWidth="1"/>
    <col min="14856" max="14856" width="3.625" style="667" customWidth="1"/>
    <col min="14857" max="14857" width="12.125" style="667" customWidth="1"/>
    <col min="14858" max="14858" width="52.625" style="667" customWidth="1"/>
    <col min="14859" max="14860" width="8.625" style="667" customWidth="1"/>
    <col min="14861" max="14861" width="11.75" style="667" customWidth="1"/>
    <col min="14862" max="14862" width="11.125" style="667" customWidth="1"/>
    <col min="14863" max="14863" width="8.625" style="667" customWidth="1"/>
    <col min="14864" max="14864" width="11.875" style="667" customWidth="1"/>
    <col min="14865" max="14865" width="12" style="667" customWidth="1"/>
    <col min="14866" max="14866" width="14" style="667" bestFit="1" customWidth="1"/>
    <col min="14867" max="15110" width="12.875" style="667"/>
    <col min="15111" max="15111" width="10.125" style="667" customWidth="1"/>
    <col min="15112" max="15112" width="3.625" style="667" customWidth="1"/>
    <col min="15113" max="15113" width="12.125" style="667" customWidth="1"/>
    <col min="15114" max="15114" width="52.625" style="667" customWidth="1"/>
    <col min="15115" max="15116" width="8.625" style="667" customWidth="1"/>
    <col min="15117" max="15117" width="11.75" style="667" customWidth="1"/>
    <col min="15118" max="15118" width="11.125" style="667" customWidth="1"/>
    <col min="15119" max="15119" width="8.625" style="667" customWidth="1"/>
    <col min="15120" max="15120" width="11.875" style="667" customWidth="1"/>
    <col min="15121" max="15121" width="12" style="667" customWidth="1"/>
    <col min="15122" max="15122" width="14" style="667" bestFit="1" customWidth="1"/>
    <col min="15123" max="15366" width="12.875" style="667"/>
    <col min="15367" max="15367" width="10.125" style="667" customWidth="1"/>
    <col min="15368" max="15368" width="3.625" style="667" customWidth="1"/>
    <col min="15369" max="15369" width="12.125" style="667" customWidth="1"/>
    <col min="15370" max="15370" width="52.625" style="667" customWidth="1"/>
    <col min="15371" max="15372" width="8.625" style="667" customWidth="1"/>
    <col min="15373" max="15373" width="11.75" style="667" customWidth="1"/>
    <col min="15374" max="15374" width="11.125" style="667" customWidth="1"/>
    <col min="15375" max="15375" width="8.625" style="667" customWidth="1"/>
    <col min="15376" max="15376" width="11.875" style="667" customWidth="1"/>
    <col min="15377" max="15377" width="12" style="667" customWidth="1"/>
    <col min="15378" max="15378" width="14" style="667" bestFit="1" customWidth="1"/>
    <col min="15379" max="15622" width="12.875" style="667"/>
    <col min="15623" max="15623" width="10.125" style="667" customWidth="1"/>
    <col min="15624" max="15624" width="3.625" style="667" customWidth="1"/>
    <col min="15625" max="15625" width="12.125" style="667" customWidth="1"/>
    <col min="15626" max="15626" width="52.625" style="667" customWidth="1"/>
    <col min="15627" max="15628" width="8.625" style="667" customWidth="1"/>
    <col min="15629" max="15629" width="11.75" style="667" customWidth="1"/>
    <col min="15630" max="15630" width="11.125" style="667" customWidth="1"/>
    <col min="15631" max="15631" width="8.625" style="667" customWidth="1"/>
    <col min="15632" max="15632" width="11.875" style="667" customWidth="1"/>
    <col min="15633" max="15633" width="12" style="667" customWidth="1"/>
    <col min="15634" max="15634" width="14" style="667" bestFit="1" customWidth="1"/>
    <col min="15635" max="15878" width="12.875" style="667"/>
    <col min="15879" max="15879" width="10.125" style="667" customWidth="1"/>
    <col min="15880" max="15880" width="3.625" style="667" customWidth="1"/>
    <col min="15881" max="15881" width="12.125" style="667" customWidth="1"/>
    <col min="15882" max="15882" width="52.625" style="667" customWidth="1"/>
    <col min="15883" max="15884" width="8.625" style="667" customWidth="1"/>
    <col min="15885" max="15885" width="11.75" style="667" customWidth="1"/>
    <col min="15886" max="15886" width="11.125" style="667" customWidth="1"/>
    <col min="15887" max="15887" width="8.625" style="667" customWidth="1"/>
    <col min="15888" max="15888" width="11.875" style="667" customWidth="1"/>
    <col min="15889" max="15889" width="12" style="667" customWidth="1"/>
    <col min="15890" max="15890" width="14" style="667" bestFit="1" customWidth="1"/>
    <col min="15891" max="16134" width="12.875" style="667"/>
    <col min="16135" max="16135" width="10.125" style="667" customWidth="1"/>
    <col min="16136" max="16136" width="3.625" style="667" customWidth="1"/>
    <col min="16137" max="16137" width="12.125" style="667" customWidth="1"/>
    <col min="16138" max="16138" width="52.625" style="667" customWidth="1"/>
    <col min="16139" max="16140" width="8.625" style="667" customWidth="1"/>
    <col min="16141" max="16141" width="11.75" style="667" customWidth="1"/>
    <col min="16142" max="16142" width="11.125" style="667" customWidth="1"/>
    <col min="16143" max="16143" width="8.625" style="667" customWidth="1"/>
    <col min="16144" max="16144" width="11.875" style="667" customWidth="1"/>
    <col min="16145" max="16145" width="12" style="667" customWidth="1"/>
    <col min="16146" max="16146" width="14" style="667" bestFit="1" customWidth="1"/>
    <col min="16147" max="16384" width="12.875" style="667"/>
  </cols>
  <sheetData>
    <row r="1" spans="1:29" s="665" customFormat="1" ht="24">
      <c r="A1" s="1554" t="s">
        <v>13</v>
      </c>
      <c r="B1" s="1554"/>
      <c r="C1" s="1554"/>
      <c r="D1" s="1554"/>
      <c r="E1" s="1554"/>
      <c r="F1" s="1554"/>
      <c r="G1" s="1554"/>
      <c r="H1" s="1554"/>
      <c r="I1" s="1554"/>
      <c r="J1" s="1554"/>
      <c r="K1" s="1554"/>
      <c r="L1" s="1554"/>
      <c r="M1" s="1554"/>
      <c r="N1" s="1554"/>
      <c r="O1" s="1554"/>
      <c r="P1" s="1554"/>
      <c r="Q1" s="1554"/>
      <c r="X1" s="805"/>
      <c r="Y1" s="805"/>
      <c r="Z1" s="805"/>
    </row>
    <row r="2" spans="1:29" ht="21.75">
      <c r="A2" s="667" t="s">
        <v>14</v>
      </c>
      <c r="C2" s="667" t="str">
        <f>ปร.4_1!C2</f>
        <v>ซ่อมแซมผิวทางแบบเซอร์เฟซทรีตเมนต์ชั้นเดียว S.S.T.  สายป่าตอ-ใสขรบ   หมู่ที่ 5</v>
      </c>
      <c r="S2" s="807"/>
      <c r="T2" s="807"/>
      <c r="U2" s="807"/>
      <c r="V2" s="807"/>
      <c r="W2" s="807"/>
      <c r="X2" s="687"/>
      <c r="Y2" s="687"/>
      <c r="Z2" s="687"/>
      <c r="AA2" s="807"/>
      <c r="AB2" s="807"/>
      <c r="AC2" s="807"/>
    </row>
    <row r="3" spans="1:29" ht="21.75">
      <c r="A3" s="667" t="s">
        <v>1234</v>
      </c>
      <c r="D3" s="667" t="str">
        <f>ปร.4_1!C3</f>
        <v>ตำบลควนขนุน อำเภอควนขนุน  จังหวัดพัทลุง</v>
      </c>
      <c r="S3" s="807"/>
      <c r="T3" s="807"/>
      <c r="U3" s="807"/>
      <c r="V3" s="807"/>
      <c r="W3" s="807"/>
      <c r="X3" s="687"/>
      <c r="Y3" s="687"/>
      <c r="Z3" s="687"/>
      <c r="AA3" s="807"/>
      <c r="AB3" s="807"/>
      <c r="AC3" s="807"/>
    </row>
    <row r="4" spans="1:29" ht="21.75">
      <c r="A4" s="667" t="s">
        <v>419</v>
      </c>
      <c r="C4" s="1551">
        <v>1</v>
      </c>
      <c r="D4" s="1551"/>
      <c r="E4" s="675" t="s">
        <v>699</v>
      </c>
      <c r="F4" s="675"/>
      <c r="G4" s="675"/>
      <c r="H4" s="675"/>
      <c r="I4" s="675"/>
      <c r="R4" s="744"/>
      <c r="S4" s="807"/>
      <c r="T4" s="807"/>
      <c r="U4" s="807"/>
      <c r="V4" s="807"/>
      <c r="W4" s="807"/>
      <c r="X4" s="687"/>
      <c r="Y4" s="687"/>
      <c r="Z4" s="687"/>
      <c r="AA4" s="807"/>
      <c r="AB4" s="807"/>
      <c r="AC4" s="807"/>
    </row>
    <row r="5" spans="1:29" ht="21.75">
      <c r="A5" s="684" t="s">
        <v>42</v>
      </c>
      <c r="C5" s="808">
        <f>ปร.4_1!D5</f>
        <v>0</v>
      </c>
      <c r="F5" s="679" t="s">
        <v>16</v>
      </c>
      <c r="G5" s="809">
        <f>ปร.4_1!I5</f>
        <v>5</v>
      </c>
      <c r="H5" s="667" t="s">
        <v>17</v>
      </c>
      <c r="S5" s="807"/>
      <c r="T5" s="807"/>
      <c r="U5" s="807"/>
      <c r="V5" s="807"/>
      <c r="W5" s="807"/>
      <c r="X5" s="687"/>
      <c r="Y5" s="687"/>
      <c r="Z5" s="687"/>
      <c r="AA5" s="807"/>
      <c r="AB5" s="807"/>
      <c r="AC5" s="807"/>
    </row>
    <row r="6" spans="1:29" ht="21.75">
      <c r="A6" s="684" t="s">
        <v>43</v>
      </c>
      <c r="C6" s="808">
        <f>ปร.4_1!D6</f>
        <v>0</v>
      </c>
      <c r="E6" s="675"/>
      <c r="F6" s="679" t="s">
        <v>18</v>
      </c>
      <c r="G6" s="809">
        <f>ปร.4_1!I6</f>
        <v>0</v>
      </c>
      <c r="H6" s="667" t="s">
        <v>17</v>
      </c>
      <c r="S6" s="807"/>
      <c r="T6" s="807"/>
      <c r="U6" s="807"/>
      <c r="V6" s="807"/>
      <c r="W6" s="807"/>
      <c r="X6" s="687"/>
      <c r="Y6" s="687"/>
      <c r="Z6" s="687"/>
      <c r="AA6" s="807"/>
      <c r="AB6" s="807"/>
      <c r="AC6" s="807"/>
    </row>
    <row r="7" spans="1:29" ht="21.75">
      <c r="A7" s="684" t="s">
        <v>1190</v>
      </c>
      <c r="C7" s="685"/>
      <c r="D7" s="675" t="str">
        <f>ปร.4_1!D7</f>
        <v>30  มิถุนายน  พ.ศ. 2563</v>
      </c>
      <c r="F7" s="675"/>
      <c r="G7" s="675"/>
      <c r="H7" s="675"/>
      <c r="I7" s="675"/>
      <c r="K7" s="687"/>
      <c r="S7" s="807"/>
      <c r="T7" s="807"/>
      <c r="U7" s="807"/>
      <c r="V7" s="807"/>
      <c r="W7" s="807"/>
      <c r="X7" s="687"/>
      <c r="Y7" s="687"/>
      <c r="Z7" s="687"/>
      <c r="AA7" s="807"/>
      <c r="AB7" s="807"/>
      <c r="AC7" s="807"/>
    </row>
    <row r="8" spans="1:29" s="690" customFormat="1" ht="21.75">
      <c r="A8" s="1557" t="s">
        <v>20</v>
      </c>
      <c r="B8" s="1552" t="s">
        <v>1</v>
      </c>
      <c r="C8" s="1534"/>
      <c r="D8" s="1534"/>
      <c r="E8" s="1534"/>
      <c r="F8" s="1534"/>
      <c r="G8" s="1534"/>
      <c r="H8" s="1534"/>
      <c r="I8" s="1553"/>
      <c r="J8" s="1555" t="s">
        <v>2</v>
      </c>
      <c r="K8" s="1544" t="s">
        <v>21</v>
      </c>
      <c r="L8" s="1558" t="s">
        <v>22</v>
      </c>
      <c r="M8" s="1559"/>
      <c r="N8" s="1549" t="s">
        <v>23</v>
      </c>
      <c r="O8" s="1531" t="s">
        <v>24</v>
      </c>
      <c r="P8" s="1531"/>
      <c r="Q8" s="1555" t="s">
        <v>3</v>
      </c>
      <c r="X8" s="810"/>
      <c r="Y8" s="810"/>
      <c r="Z8" s="810"/>
    </row>
    <row r="9" spans="1:29" s="690" customFormat="1" ht="21.75">
      <c r="A9" s="1541"/>
      <c r="B9" s="1536"/>
      <c r="C9" s="1537"/>
      <c r="D9" s="1537"/>
      <c r="E9" s="1537"/>
      <c r="F9" s="1537"/>
      <c r="G9" s="1537"/>
      <c r="H9" s="1537"/>
      <c r="I9" s="1538"/>
      <c r="J9" s="1555"/>
      <c r="K9" s="1545"/>
      <c r="L9" s="811" t="s">
        <v>25</v>
      </c>
      <c r="M9" s="812" t="s">
        <v>26</v>
      </c>
      <c r="N9" s="1550"/>
      <c r="O9" s="811" t="s">
        <v>25</v>
      </c>
      <c r="P9" s="812" t="s">
        <v>26</v>
      </c>
      <c r="Q9" s="1555"/>
      <c r="W9" s="690" t="s">
        <v>529</v>
      </c>
      <c r="X9" s="810">
        <f>11.75-0.24-0.6-0.7-0.8-8</f>
        <v>1.4100000000000001</v>
      </c>
      <c r="Y9" s="810"/>
      <c r="Z9" s="810"/>
    </row>
    <row r="10" spans="1:29" s="690" customFormat="1" ht="24">
      <c r="A10" s="695"/>
      <c r="B10" s="813" t="s">
        <v>27</v>
      </c>
      <c r="C10" s="697"/>
      <c r="D10" s="697"/>
      <c r="E10" s="697"/>
      <c r="F10" s="697"/>
      <c r="G10" s="697"/>
      <c r="H10" s="697"/>
      <c r="I10" s="698"/>
      <c r="J10" s="699"/>
      <c r="K10" s="814"/>
      <c r="L10" s="815"/>
      <c r="M10" s="816"/>
      <c r="N10" s="817"/>
      <c r="O10" s="818"/>
      <c r="P10" s="818"/>
      <c r="Q10" s="714"/>
      <c r="W10" s="690" t="s">
        <v>530</v>
      </c>
      <c r="X10" s="810">
        <f>12.5-0.24-0.6-1.9-1.8-6</f>
        <v>1.96</v>
      </c>
      <c r="Y10" s="810"/>
      <c r="Z10" s="810"/>
    </row>
    <row r="11" spans="1:29" ht="21.75">
      <c r="A11" s="819">
        <v>1</v>
      </c>
      <c r="B11" s="820" t="s">
        <v>28</v>
      </c>
      <c r="C11" s="821"/>
      <c r="D11" s="821"/>
      <c r="E11" s="709"/>
      <c r="F11" s="709"/>
      <c r="G11" s="709"/>
      <c r="H11" s="709"/>
      <c r="I11" s="710"/>
      <c r="J11" s="707"/>
      <c r="K11" s="782"/>
      <c r="L11" s="822"/>
      <c r="M11" s="822"/>
      <c r="N11" s="823"/>
      <c r="O11" s="714"/>
      <c r="P11" s="714"/>
      <c r="Q11" s="714"/>
      <c r="W11" s="824" t="s">
        <v>531</v>
      </c>
      <c r="X11" s="825">
        <f>12.979-0.24-0.6-1.9-1.8-6</f>
        <v>2.4389999999999983</v>
      </c>
    </row>
    <row r="12" spans="1:29" ht="21.75">
      <c r="A12" s="707"/>
      <c r="B12" s="732">
        <v>1.1000000000000001</v>
      </c>
      <c r="C12" s="730" t="s">
        <v>1186</v>
      </c>
      <c r="D12" s="730"/>
      <c r="E12" s="730"/>
      <c r="F12" s="827" t="s">
        <v>10</v>
      </c>
      <c r="G12" s="747" t="s">
        <v>1187</v>
      </c>
      <c r="H12" s="827" t="s">
        <v>10</v>
      </c>
      <c r="I12" s="710"/>
      <c r="J12" s="707"/>
      <c r="K12" s="782"/>
      <c r="L12" s="822"/>
      <c r="M12" s="822"/>
      <c r="N12" s="823"/>
      <c r="O12" s="714"/>
      <c r="P12" s="714"/>
      <c r="Q12" s="714"/>
      <c r="W12" s="824" t="s">
        <v>532</v>
      </c>
      <c r="X12" s="825">
        <f>12.96-0.24-0.6-1.9-1.8-6</f>
        <v>2.42</v>
      </c>
      <c r="Y12" s="828">
        <f>(X11+X12+X15)/3</f>
        <v>2.3406666666666656</v>
      </c>
    </row>
    <row r="13" spans="1:29" ht="21.75">
      <c r="A13" s="707"/>
      <c r="B13" s="732"/>
      <c r="C13" s="730" t="s">
        <v>1189</v>
      </c>
      <c r="D13" s="730"/>
      <c r="E13" s="593">
        <v>0</v>
      </c>
      <c r="F13" s="730" t="s">
        <v>1188</v>
      </c>
      <c r="G13" s="593">
        <v>0</v>
      </c>
      <c r="H13" s="730" t="s">
        <v>185</v>
      </c>
      <c r="I13" s="710"/>
      <c r="J13" s="707"/>
      <c r="K13" s="782"/>
      <c r="L13" s="822"/>
      <c r="M13" s="822"/>
      <c r="N13" s="823"/>
      <c r="O13" s="714"/>
      <c r="P13" s="714"/>
      <c r="Q13" s="714"/>
      <c r="W13" s="824"/>
      <c r="X13" s="825"/>
      <c r="Y13" s="828"/>
    </row>
    <row r="14" spans="1:29" ht="21.75">
      <c r="A14" s="707"/>
      <c r="B14" s="732"/>
      <c r="C14" s="730" t="s">
        <v>1191</v>
      </c>
      <c r="D14" s="730"/>
      <c r="E14" s="730"/>
      <c r="F14" s="593">
        <v>0</v>
      </c>
      <c r="G14" s="730" t="s">
        <v>17</v>
      </c>
      <c r="H14" s="730"/>
      <c r="I14" s="731"/>
      <c r="J14" s="707"/>
      <c r="K14" s="782"/>
      <c r="L14" s="822"/>
      <c r="M14" s="822"/>
      <c r="N14" s="823"/>
      <c r="O14" s="714"/>
      <c r="P14" s="714"/>
      <c r="Q14" s="714"/>
      <c r="W14" s="824"/>
      <c r="X14" s="825"/>
      <c r="Y14" s="828"/>
    </row>
    <row r="15" spans="1:29" ht="21.75">
      <c r="A15" s="707"/>
      <c r="B15" s="829"/>
      <c r="C15" s="709" t="s">
        <v>29</v>
      </c>
      <c r="D15" s="730" t="s">
        <v>44</v>
      </c>
      <c r="F15" s="730"/>
      <c r="G15" s="730"/>
      <c r="H15" s="730"/>
      <c r="I15" s="731"/>
      <c r="J15" s="707"/>
      <c r="K15" s="830"/>
      <c r="L15" s="822"/>
      <c r="M15" s="822"/>
      <c r="N15" s="823"/>
      <c r="O15" s="714"/>
      <c r="P15" s="714"/>
      <c r="Q15" s="714"/>
      <c r="W15" s="824" t="s">
        <v>533</v>
      </c>
      <c r="X15" s="825">
        <f>12.703-0.24-0.6-1.9-1.8-6</f>
        <v>2.1629999999999985</v>
      </c>
    </row>
    <row r="16" spans="1:29" ht="21.75">
      <c r="A16" s="707"/>
      <c r="B16" s="829"/>
      <c r="C16" s="709"/>
      <c r="D16" s="730" t="s">
        <v>1204</v>
      </c>
      <c r="F16" s="730"/>
      <c r="G16" s="730"/>
      <c r="H16" s="593">
        <v>10</v>
      </c>
      <c r="I16" s="731" t="s">
        <v>17</v>
      </c>
      <c r="J16" s="707" t="s">
        <v>4</v>
      </c>
      <c r="K16" s="831">
        <v>0</v>
      </c>
      <c r="L16" s="718">
        <f>IF(K16=0,0,ราคาต้นทุนงานทาง!K924)</f>
        <v>0</v>
      </c>
      <c r="M16" s="718">
        <f>K16*L16</f>
        <v>0</v>
      </c>
      <c r="N16" s="719">
        <f>IF(K16=0,0,$N$90)</f>
        <v>0</v>
      </c>
      <c r="O16" s="718">
        <f>ROUNDDOWN(L16*N16,0)</f>
        <v>0</v>
      </c>
      <c r="P16" s="718">
        <f>ROUNDDOWN(M16*N16,0)</f>
        <v>0</v>
      </c>
      <c r="Q16" s="718"/>
      <c r="W16" s="667" t="s">
        <v>544</v>
      </c>
      <c r="X16" s="826">
        <f>12.25-0.24-0.6-1.9-1.8-6</f>
        <v>1.71</v>
      </c>
      <c r="Y16" s="826">
        <f>(X10+X16)/2</f>
        <v>1.835</v>
      </c>
    </row>
    <row r="17" spans="1:26" ht="21.75">
      <c r="A17" s="707"/>
      <c r="B17" s="829"/>
      <c r="C17" s="709"/>
      <c r="D17" s="730" t="s">
        <v>534</v>
      </c>
      <c r="F17" s="730"/>
      <c r="G17" s="730"/>
      <c r="H17" s="730"/>
      <c r="I17" s="731"/>
      <c r="J17" s="707" t="s">
        <v>4</v>
      </c>
      <c r="K17" s="831">
        <v>0</v>
      </c>
      <c r="L17" s="718">
        <f>IF(K17=0,0,ราคาต้นทุนงานทาง!K933)</f>
        <v>0</v>
      </c>
      <c r="M17" s="718">
        <f>K17*L17</f>
        <v>0</v>
      </c>
      <c r="N17" s="719">
        <f>IF(K17=0,0,$N$90)</f>
        <v>0</v>
      </c>
      <c r="O17" s="718">
        <f>ROUNDDOWN(L17*N17,0)</f>
        <v>0</v>
      </c>
      <c r="P17" s="718">
        <f>ROUNDDOWN(M17*N17,0)</f>
        <v>0</v>
      </c>
      <c r="Q17" s="718"/>
      <c r="W17" s="667" t="s">
        <v>545</v>
      </c>
      <c r="X17" s="810">
        <f>11.7-0.24-0.6-0.7-0.8-8</f>
        <v>1.3599999999999994</v>
      </c>
      <c r="Y17" s="826">
        <f>(X9+X17)/2</f>
        <v>1.3849999999999998</v>
      </c>
    </row>
    <row r="18" spans="1:26" ht="21.75">
      <c r="A18" s="707"/>
      <c r="B18" s="829"/>
      <c r="C18" s="709"/>
      <c r="D18" s="730" t="s">
        <v>597</v>
      </c>
      <c r="F18" s="730"/>
      <c r="G18" s="730"/>
      <c r="H18" s="730"/>
      <c r="I18" s="731"/>
      <c r="J18" s="707" t="s">
        <v>4</v>
      </c>
      <c r="K18" s="831">
        <v>0</v>
      </c>
      <c r="L18" s="718">
        <f>IF(K18=0,0,ราคาต้นทุนงานทาง!K929)</f>
        <v>0</v>
      </c>
      <c r="M18" s="718">
        <f>K18*L18</f>
        <v>0</v>
      </c>
      <c r="N18" s="719">
        <f>IF(K18=0,0,$N$90)</f>
        <v>0</v>
      </c>
      <c r="O18" s="718">
        <f>ROUNDDOWN(L18*N18,0)</f>
        <v>0</v>
      </c>
      <c r="P18" s="718">
        <f>ROUNDDOWN(M18*N18,0)</f>
        <v>0</v>
      </c>
      <c r="Q18" s="718"/>
    </row>
    <row r="19" spans="1:26" ht="21.75">
      <c r="A19" s="707"/>
      <c r="B19" s="829"/>
      <c r="C19" s="709"/>
      <c r="D19" s="730" t="s">
        <v>535</v>
      </c>
      <c r="F19" s="730"/>
      <c r="G19" s="730"/>
      <c r="H19" s="730"/>
      <c r="I19" s="731"/>
      <c r="J19" s="707" t="s">
        <v>7</v>
      </c>
      <c r="K19" s="831">
        <v>0</v>
      </c>
      <c r="L19" s="718">
        <f>IF(K19=0,0,ราคาต้นทุนงานทาง!K947)</f>
        <v>0</v>
      </c>
      <c r="M19" s="718">
        <f>K19*L19</f>
        <v>0</v>
      </c>
      <c r="N19" s="719">
        <f>IF(K19=0,0,$N$90)</f>
        <v>0</v>
      </c>
      <c r="O19" s="718">
        <f>ROUNDDOWN(L19*N19,0)</f>
        <v>0</v>
      </c>
      <c r="P19" s="718">
        <f>ROUNDDOWN(M19*N19,0)</f>
        <v>0</v>
      </c>
      <c r="Q19" s="718"/>
      <c r="X19" s="826">
        <f>1.36*2</f>
        <v>2.72</v>
      </c>
    </row>
    <row r="20" spans="1:26" ht="21.75">
      <c r="A20" s="707"/>
      <c r="B20" s="829"/>
      <c r="C20" s="709" t="s">
        <v>30</v>
      </c>
      <c r="D20" s="709" t="s">
        <v>31</v>
      </c>
      <c r="F20" s="709"/>
      <c r="G20" s="709"/>
      <c r="H20" s="709"/>
      <c r="I20" s="710"/>
      <c r="J20" s="707"/>
      <c r="K20" s="711"/>
      <c r="L20" s="832"/>
      <c r="M20" s="832"/>
      <c r="N20" s="719"/>
      <c r="O20" s="833"/>
      <c r="P20" s="832"/>
      <c r="Q20" s="832"/>
      <c r="X20" s="826">
        <f>(2.72*2.72)+(1.36*1.36)</f>
        <v>9.2480000000000011</v>
      </c>
      <c r="Y20" s="826">
        <f>(2.66*2.66)+(5.32*5.32)</f>
        <v>35.378</v>
      </c>
    </row>
    <row r="21" spans="1:26" ht="21.75">
      <c r="A21" s="707"/>
      <c r="B21" s="829"/>
      <c r="C21" s="709"/>
      <c r="D21" s="709" t="s">
        <v>1205</v>
      </c>
      <c r="F21" s="709"/>
      <c r="G21" s="709"/>
      <c r="H21" s="709"/>
      <c r="I21" s="710"/>
      <c r="J21" s="707" t="s">
        <v>32</v>
      </c>
      <c r="K21" s="831">
        <v>0</v>
      </c>
      <c r="L21" s="718">
        <f>IF(K21=0,0,ราคาต้นทุนงานทาง!K966)</f>
        <v>0</v>
      </c>
      <c r="M21" s="718">
        <f>K21*L21</f>
        <v>0</v>
      </c>
      <c r="N21" s="719">
        <f>IF(K21=0,0,$N$90)</f>
        <v>0</v>
      </c>
      <c r="O21" s="718">
        <f>ROUNDDOWN(L21*N21,0)</f>
        <v>0</v>
      </c>
      <c r="P21" s="718">
        <f>ROUNDDOWN(M21*N21,0)</f>
        <v>0</v>
      </c>
      <c r="Q21" s="718"/>
      <c r="X21" s="826">
        <f>1.7*2.5</f>
        <v>4.25</v>
      </c>
      <c r="Y21" s="826">
        <f>1.36+0.7+0.6</f>
        <v>2.66</v>
      </c>
      <c r="Z21" s="826">
        <f>Y21*2</f>
        <v>5.32</v>
      </c>
    </row>
    <row r="22" spans="1:26" ht="21.75">
      <c r="A22" s="707"/>
      <c r="B22" s="829"/>
      <c r="C22" s="709"/>
      <c r="D22" s="709" t="s">
        <v>1206</v>
      </c>
      <c r="F22" s="709"/>
      <c r="G22" s="709"/>
      <c r="H22" s="709"/>
      <c r="I22" s="710"/>
      <c r="J22" s="707" t="s">
        <v>32</v>
      </c>
      <c r="K22" s="831">
        <v>0</v>
      </c>
      <c r="L22" s="718">
        <f>IF(K22=0,0,ราคาต้นทุนงานทาง!K982)</f>
        <v>0</v>
      </c>
      <c r="M22" s="718">
        <f>K22*L22</f>
        <v>0</v>
      </c>
      <c r="N22" s="719">
        <f>IF(K22=0,0,$N$90)</f>
        <v>0</v>
      </c>
      <c r="O22" s="718">
        <f>ROUNDDOWN(L22*N22,0)</f>
        <v>0</v>
      </c>
      <c r="P22" s="718">
        <f>ROUNDDOWN(M22*N22,0)</f>
        <v>0</v>
      </c>
      <c r="Q22" s="718"/>
    </row>
    <row r="23" spans="1:26" ht="21.75">
      <c r="A23" s="707"/>
      <c r="B23" s="829"/>
      <c r="C23" s="709"/>
      <c r="D23" s="709" t="s">
        <v>684</v>
      </c>
      <c r="F23" s="709"/>
      <c r="G23" s="709"/>
      <c r="H23" s="709"/>
      <c r="I23" s="710"/>
      <c r="J23" s="834" t="s">
        <v>543</v>
      </c>
      <c r="K23" s="831">
        <v>0</v>
      </c>
      <c r="L23" s="718">
        <v>0</v>
      </c>
      <c r="M23" s="718">
        <f>K23*L23</f>
        <v>0</v>
      </c>
      <c r="N23" s="719">
        <f>IF(K23=0,0,$N$90)</f>
        <v>0</v>
      </c>
      <c r="O23" s="718">
        <f>ROUNDDOWN(L23*N23,0)</f>
        <v>0</v>
      </c>
      <c r="P23" s="718">
        <f>ROUNDDOWN(M23*N23,0)</f>
        <v>0</v>
      </c>
      <c r="Q23" s="718"/>
    </row>
    <row r="24" spans="1:26" ht="21.75">
      <c r="A24" s="707"/>
      <c r="B24" s="829"/>
      <c r="C24" s="709" t="s">
        <v>685</v>
      </c>
      <c r="D24" s="709" t="s">
        <v>686</v>
      </c>
      <c r="F24" s="709"/>
      <c r="G24" s="709"/>
      <c r="H24" s="709"/>
      <c r="I24" s="710"/>
      <c r="J24" s="834" t="s">
        <v>7</v>
      </c>
      <c r="K24" s="831">
        <v>0</v>
      </c>
      <c r="L24" s="718">
        <f>IF(K24=0,0,ราคาต้นทุนงานทาง!K996)</f>
        <v>0</v>
      </c>
      <c r="M24" s="718">
        <f>K24*L24</f>
        <v>0</v>
      </c>
      <c r="N24" s="719">
        <f>IF(K24=0,0,$N$90)</f>
        <v>0</v>
      </c>
      <c r="O24" s="718">
        <f>ROUNDDOWN(L24*N24,0)</f>
        <v>0</v>
      </c>
      <c r="P24" s="718">
        <f>ROUNDDOWN(M24*N24,0)</f>
        <v>0</v>
      </c>
      <c r="Q24" s="718"/>
    </row>
    <row r="25" spans="1:26" ht="21.75">
      <c r="A25" s="707"/>
      <c r="B25" s="829"/>
      <c r="C25" s="709" t="s">
        <v>34</v>
      </c>
      <c r="D25" s="709" t="s">
        <v>33</v>
      </c>
      <c r="F25" s="709"/>
      <c r="G25" s="709"/>
      <c r="H25" s="709"/>
      <c r="I25" s="710"/>
      <c r="J25" s="731"/>
      <c r="K25" s="711"/>
      <c r="L25" s="832"/>
      <c r="M25" s="832"/>
      <c r="N25" s="719"/>
      <c r="O25" s="833"/>
      <c r="P25" s="832"/>
      <c r="Q25" s="832"/>
    </row>
    <row r="26" spans="1:26" ht="21.75">
      <c r="A26" s="707"/>
      <c r="B26" s="829"/>
      <c r="C26" s="709"/>
      <c r="D26" s="835" t="s">
        <v>687</v>
      </c>
      <c r="F26" s="835"/>
      <c r="G26" s="835"/>
      <c r="H26" s="835"/>
      <c r="I26" s="836"/>
      <c r="J26" s="707" t="s">
        <v>9</v>
      </c>
      <c r="K26" s="831">
        <v>0</v>
      </c>
      <c r="L26" s="718">
        <f>IF(K26=0,0,ราคาต้นทุนงานทาง!K1013)</f>
        <v>0</v>
      </c>
      <c r="M26" s="718">
        <f t="shared" ref="M26:M35" si="0">K26*L26</f>
        <v>0</v>
      </c>
      <c r="N26" s="719">
        <f t="shared" ref="N26:N35" si="1">IF(K26=0,0,$N$90)</f>
        <v>0</v>
      </c>
      <c r="O26" s="718">
        <f t="shared" ref="O26:O35" si="2">ROUNDDOWN(L26*N26,0)</f>
        <v>0</v>
      </c>
      <c r="P26" s="718">
        <f t="shared" ref="P26:P35" si="3">ROUNDDOWN(M26*N26,0)</f>
        <v>0</v>
      </c>
      <c r="Q26" s="718"/>
    </row>
    <row r="27" spans="1:26" ht="21.75">
      <c r="A27" s="707"/>
      <c r="B27" s="829"/>
      <c r="C27" s="709"/>
      <c r="D27" s="835" t="s">
        <v>688</v>
      </c>
      <c r="F27" s="835"/>
      <c r="G27" s="835"/>
      <c r="H27" s="835"/>
      <c r="I27" s="836"/>
      <c r="J27" s="707" t="s">
        <v>9</v>
      </c>
      <c r="K27" s="831">
        <v>0</v>
      </c>
      <c r="L27" s="718">
        <f>IF(K27=0,0,ราคาต้นทุนงานทาง!K1029)</f>
        <v>0</v>
      </c>
      <c r="M27" s="718">
        <f t="shared" si="0"/>
        <v>0</v>
      </c>
      <c r="N27" s="719">
        <f t="shared" si="1"/>
        <v>0</v>
      </c>
      <c r="O27" s="718">
        <f t="shared" si="2"/>
        <v>0</v>
      </c>
      <c r="P27" s="718">
        <f t="shared" si="3"/>
        <v>0</v>
      </c>
      <c r="Q27" s="718"/>
    </row>
    <row r="28" spans="1:26" ht="21.75">
      <c r="A28" s="707"/>
      <c r="B28" s="829"/>
      <c r="C28" s="709"/>
      <c r="D28" s="709" t="s">
        <v>689</v>
      </c>
      <c r="F28" s="709"/>
      <c r="G28" s="709"/>
      <c r="H28" s="709"/>
      <c r="I28" s="710"/>
      <c r="J28" s="707" t="s">
        <v>9</v>
      </c>
      <c r="K28" s="831">
        <v>0</v>
      </c>
      <c r="L28" s="718">
        <f>IF(K28=0,0,ราคาต้นทุนงานทาง!K1030)</f>
        <v>0</v>
      </c>
      <c r="M28" s="718">
        <f t="shared" si="0"/>
        <v>0</v>
      </c>
      <c r="N28" s="719">
        <f t="shared" si="1"/>
        <v>0</v>
      </c>
      <c r="O28" s="718">
        <f t="shared" si="2"/>
        <v>0</v>
      </c>
      <c r="P28" s="718">
        <f t="shared" si="3"/>
        <v>0</v>
      </c>
      <c r="Q28" s="718"/>
      <c r="W28" s="667">
        <v>1.1499999999999999</v>
      </c>
      <c r="X28" s="826">
        <f>(1.15*1.15)+(2.3*2.3)</f>
        <v>6.6124999999999989</v>
      </c>
    </row>
    <row r="29" spans="1:26" ht="21.75">
      <c r="A29" s="707"/>
      <c r="B29" s="829"/>
      <c r="C29" s="709"/>
      <c r="D29" s="835" t="s">
        <v>690</v>
      </c>
      <c r="F29" s="835"/>
      <c r="G29" s="835"/>
      <c r="H29" s="835"/>
      <c r="I29" s="836"/>
      <c r="J29" s="707" t="s">
        <v>9</v>
      </c>
      <c r="K29" s="831">
        <v>0</v>
      </c>
      <c r="L29" s="718">
        <f>IF(K29=0,0,ราคาต้นทุนงานทาง!K1031)</f>
        <v>0</v>
      </c>
      <c r="M29" s="718">
        <f t="shared" si="0"/>
        <v>0</v>
      </c>
      <c r="N29" s="719">
        <f t="shared" si="1"/>
        <v>0</v>
      </c>
      <c r="O29" s="718">
        <f t="shared" si="2"/>
        <v>0</v>
      </c>
      <c r="P29" s="718">
        <f t="shared" si="3"/>
        <v>0</v>
      </c>
      <c r="Q29" s="718"/>
    </row>
    <row r="30" spans="1:26" ht="21.75">
      <c r="A30" s="707"/>
      <c r="B30" s="829"/>
      <c r="C30" s="709"/>
      <c r="D30" s="835" t="s">
        <v>691</v>
      </c>
      <c r="F30" s="835"/>
      <c r="G30" s="835"/>
      <c r="H30" s="835"/>
      <c r="I30" s="836"/>
      <c r="J30" s="707" t="s">
        <v>9</v>
      </c>
      <c r="K30" s="831">
        <v>0</v>
      </c>
      <c r="L30" s="718">
        <f>IF(K30=0,0,ราคาต้นทุนงานทาง!K1032)</f>
        <v>0</v>
      </c>
      <c r="M30" s="718">
        <f t="shared" si="0"/>
        <v>0</v>
      </c>
      <c r="N30" s="719">
        <f t="shared" si="1"/>
        <v>0</v>
      </c>
      <c r="O30" s="718">
        <f t="shared" si="2"/>
        <v>0</v>
      </c>
      <c r="P30" s="718">
        <f t="shared" si="3"/>
        <v>0</v>
      </c>
      <c r="Q30" s="718"/>
    </row>
    <row r="31" spans="1:26" ht="21.75">
      <c r="A31" s="707"/>
      <c r="B31" s="829"/>
      <c r="C31" s="709"/>
      <c r="D31" s="709" t="s">
        <v>692</v>
      </c>
      <c r="F31" s="709"/>
      <c r="G31" s="709"/>
      <c r="H31" s="709"/>
      <c r="I31" s="710"/>
      <c r="J31" s="707" t="s">
        <v>9</v>
      </c>
      <c r="K31" s="831">
        <v>0</v>
      </c>
      <c r="L31" s="718">
        <f>IF(K31=0,0,ราคาต้นทุนงานทาง!K1033)</f>
        <v>0</v>
      </c>
      <c r="M31" s="718">
        <f t="shared" si="0"/>
        <v>0</v>
      </c>
      <c r="N31" s="719">
        <f t="shared" si="1"/>
        <v>0</v>
      </c>
      <c r="O31" s="718">
        <f t="shared" si="2"/>
        <v>0</v>
      </c>
      <c r="P31" s="718">
        <f t="shared" si="3"/>
        <v>0</v>
      </c>
      <c r="Q31" s="718"/>
    </row>
    <row r="32" spans="1:26" ht="21.75">
      <c r="A32" s="707"/>
      <c r="B32" s="829"/>
      <c r="C32" s="709"/>
      <c r="D32" s="709" t="s">
        <v>894</v>
      </c>
      <c r="F32" s="709"/>
      <c r="G32" s="709"/>
      <c r="H32" s="709"/>
      <c r="I32" s="710"/>
      <c r="J32" s="707" t="s">
        <v>9</v>
      </c>
      <c r="K32" s="831">
        <v>0</v>
      </c>
      <c r="L32" s="718">
        <f>IF(K32=0,0,ราคาต้นทุนงานทาง!K1034)</f>
        <v>0</v>
      </c>
      <c r="M32" s="718">
        <f t="shared" si="0"/>
        <v>0</v>
      </c>
      <c r="N32" s="719">
        <f t="shared" si="1"/>
        <v>0</v>
      </c>
      <c r="O32" s="718">
        <f t="shared" si="2"/>
        <v>0</v>
      </c>
      <c r="P32" s="718">
        <f t="shared" si="3"/>
        <v>0</v>
      </c>
      <c r="Q32" s="718"/>
    </row>
    <row r="33" spans="1:27" ht="21.75">
      <c r="A33" s="707"/>
      <c r="B33" s="829"/>
      <c r="C33" s="709"/>
      <c r="D33" s="709" t="s">
        <v>895</v>
      </c>
      <c r="F33" s="709"/>
      <c r="G33" s="709"/>
      <c r="H33" s="709"/>
      <c r="I33" s="710"/>
      <c r="J33" s="707" t="s">
        <v>9</v>
      </c>
      <c r="K33" s="831">
        <v>0</v>
      </c>
      <c r="L33" s="718">
        <f>IF(K33=0,0,ราคาต้นทุนงานทาง!K1035)</f>
        <v>0</v>
      </c>
      <c r="M33" s="718">
        <f t="shared" si="0"/>
        <v>0</v>
      </c>
      <c r="N33" s="719">
        <f t="shared" si="1"/>
        <v>0</v>
      </c>
      <c r="O33" s="718">
        <f t="shared" si="2"/>
        <v>0</v>
      </c>
      <c r="P33" s="718">
        <f t="shared" si="3"/>
        <v>0</v>
      </c>
      <c r="Q33" s="718"/>
    </row>
    <row r="34" spans="1:27" ht="21.75">
      <c r="A34" s="707"/>
      <c r="B34" s="829"/>
      <c r="C34" s="709"/>
      <c r="D34" s="709" t="s">
        <v>896</v>
      </c>
      <c r="F34" s="709"/>
      <c r="G34" s="709"/>
      <c r="H34" s="709"/>
      <c r="I34" s="710"/>
      <c r="J34" s="707" t="s">
        <v>515</v>
      </c>
      <c r="K34" s="831">
        <v>0</v>
      </c>
      <c r="L34" s="718">
        <f>IF(K34=0,0,ราคาต้นทุนงานทาง!K1036)</f>
        <v>0</v>
      </c>
      <c r="M34" s="718">
        <f t="shared" si="0"/>
        <v>0</v>
      </c>
      <c r="N34" s="719">
        <f t="shared" si="1"/>
        <v>0</v>
      </c>
      <c r="O34" s="718">
        <f t="shared" si="2"/>
        <v>0</v>
      </c>
      <c r="P34" s="718">
        <f t="shared" si="3"/>
        <v>0</v>
      </c>
      <c r="Q34" s="718"/>
    </row>
    <row r="35" spans="1:27" ht="21.75">
      <c r="A35" s="707"/>
      <c r="B35" s="829"/>
      <c r="C35" s="709"/>
      <c r="D35" s="709" t="s">
        <v>693</v>
      </c>
      <c r="F35" s="709"/>
      <c r="G35" s="709"/>
      <c r="H35" s="709"/>
      <c r="I35" s="710"/>
      <c r="J35" s="707" t="s">
        <v>7</v>
      </c>
      <c r="K35" s="831">
        <v>0</v>
      </c>
      <c r="L35" s="718">
        <f>IF(K35=0,0,ราคาต้นทุนงานทาง!K1042)</f>
        <v>0</v>
      </c>
      <c r="M35" s="718">
        <f t="shared" si="0"/>
        <v>0</v>
      </c>
      <c r="N35" s="719">
        <f t="shared" si="1"/>
        <v>0</v>
      </c>
      <c r="O35" s="718">
        <f t="shared" si="2"/>
        <v>0</v>
      </c>
      <c r="P35" s="718">
        <f t="shared" si="3"/>
        <v>0</v>
      </c>
      <c r="Q35" s="718"/>
      <c r="W35" s="667">
        <v>2.2999999999999998</v>
      </c>
    </row>
    <row r="36" spans="1:27" ht="21.75">
      <c r="A36" s="707"/>
      <c r="B36" s="829"/>
      <c r="C36" s="709" t="s">
        <v>448</v>
      </c>
      <c r="D36" s="709" t="s">
        <v>35</v>
      </c>
      <c r="F36" s="709"/>
      <c r="G36" s="709"/>
      <c r="H36" s="709"/>
      <c r="I36" s="710"/>
      <c r="J36" s="707"/>
      <c r="K36" s="711"/>
      <c r="L36" s="832"/>
      <c r="M36" s="832"/>
      <c r="N36" s="719"/>
      <c r="O36" s="833"/>
      <c r="P36" s="832"/>
      <c r="Q36" s="832"/>
      <c r="Y36" s="826">
        <v>2.57</v>
      </c>
    </row>
    <row r="37" spans="1:27" ht="21.75">
      <c r="A37" s="707"/>
      <c r="B37" s="829"/>
      <c r="C37" s="709"/>
      <c r="D37" s="709" t="s">
        <v>452</v>
      </c>
      <c r="F37" s="709"/>
      <c r="G37" s="709"/>
      <c r="H37" s="709"/>
      <c r="I37" s="710"/>
      <c r="J37" s="707" t="s">
        <v>17</v>
      </c>
      <c r="K37" s="831">
        <v>0</v>
      </c>
      <c r="L37" s="718">
        <f>IF(K37=0,0,ราคาต้นทุนงานทาง!K1059)</f>
        <v>0</v>
      </c>
      <c r="M37" s="718">
        <f t="shared" ref="M37:M43" si="4">K37*L37</f>
        <v>0</v>
      </c>
      <c r="N37" s="719">
        <f t="shared" ref="N37:N46" si="5">IF(K37=0,0,$N$90)</f>
        <v>0</v>
      </c>
      <c r="O37" s="718">
        <f t="shared" ref="O37:O46" si="6">ROUNDDOWN(L37*N37,0)</f>
        <v>0</v>
      </c>
      <c r="P37" s="718">
        <f t="shared" ref="P37:P46" si="7">ROUNDDOWN(M37*N37,0)</f>
        <v>0</v>
      </c>
      <c r="Q37" s="718"/>
      <c r="V37" s="667">
        <f>(3.4*3.4)+(0.55*0.55)</f>
        <v>11.862499999999999</v>
      </c>
      <c r="Y37" s="826">
        <f>11.7*2.57*1.0642*2</f>
        <v>63.998859599999996</v>
      </c>
      <c r="AA37" s="826"/>
    </row>
    <row r="38" spans="1:27" ht="21.75">
      <c r="A38" s="707"/>
      <c r="B38" s="829"/>
      <c r="C38" s="709"/>
      <c r="D38" s="709" t="s">
        <v>536</v>
      </c>
      <c r="F38" s="709"/>
      <c r="G38" s="709"/>
      <c r="H38" s="709"/>
      <c r="I38" s="710"/>
      <c r="J38" s="707" t="s">
        <v>17</v>
      </c>
      <c r="K38" s="831">
        <v>0</v>
      </c>
      <c r="L38" s="718">
        <f>IF(K38=0,0,ราคาต้นทุนงานทาง!K1072)</f>
        <v>0</v>
      </c>
      <c r="M38" s="718">
        <f t="shared" si="4"/>
        <v>0</v>
      </c>
      <c r="N38" s="719">
        <f t="shared" si="5"/>
        <v>0</v>
      </c>
      <c r="O38" s="718">
        <f t="shared" si="6"/>
        <v>0</v>
      </c>
      <c r="P38" s="718">
        <f t="shared" si="7"/>
        <v>0</v>
      </c>
      <c r="Q38" s="718"/>
      <c r="AA38" s="826"/>
    </row>
    <row r="39" spans="1:27" ht="21.75">
      <c r="A39" s="707"/>
      <c r="B39" s="829"/>
      <c r="C39" s="709"/>
      <c r="D39" s="709" t="s">
        <v>537</v>
      </c>
      <c r="F39" s="709"/>
      <c r="G39" s="709"/>
      <c r="H39" s="709"/>
      <c r="I39" s="710"/>
      <c r="J39" s="707" t="s">
        <v>36</v>
      </c>
      <c r="K39" s="831">
        <v>0</v>
      </c>
      <c r="L39" s="718">
        <f>IF(K39=0,0,ราคาต้นทุนงานทาง!K1087)</f>
        <v>0</v>
      </c>
      <c r="M39" s="718">
        <f t="shared" si="4"/>
        <v>0</v>
      </c>
      <c r="N39" s="719">
        <f t="shared" si="5"/>
        <v>0</v>
      </c>
      <c r="O39" s="718">
        <f t="shared" si="6"/>
        <v>0</v>
      </c>
      <c r="P39" s="718">
        <f t="shared" si="7"/>
        <v>0</v>
      </c>
      <c r="Q39" s="718"/>
      <c r="AA39" s="826"/>
    </row>
    <row r="40" spans="1:27" ht="21.75">
      <c r="A40" s="707"/>
      <c r="B40" s="829"/>
      <c r="C40" s="709"/>
      <c r="D40" s="709" t="s">
        <v>1192</v>
      </c>
      <c r="F40" s="709"/>
      <c r="G40" s="709"/>
      <c r="H40" s="709"/>
      <c r="I40" s="710"/>
      <c r="J40" s="707" t="s">
        <v>36</v>
      </c>
      <c r="K40" s="831">
        <v>0</v>
      </c>
      <c r="L40" s="718">
        <f>IF(K40=0,0,3500)</f>
        <v>0</v>
      </c>
      <c r="M40" s="718">
        <f t="shared" si="4"/>
        <v>0</v>
      </c>
      <c r="N40" s="719">
        <f t="shared" si="5"/>
        <v>0</v>
      </c>
      <c r="O40" s="718">
        <f t="shared" si="6"/>
        <v>0</v>
      </c>
      <c r="P40" s="718">
        <f t="shared" si="7"/>
        <v>0</v>
      </c>
      <c r="Q40" s="718"/>
      <c r="AA40" s="826"/>
    </row>
    <row r="41" spans="1:27" ht="21.75">
      <c r="A41" s="707"/>
      <c r="B41" s="829"/>
      <c r="C41" s="709"/>
      <c r="D41" s="709" t="s">
        <v>694</v>
      </c>
      <c r="F41" s="709"/>
      <c r="G41" s="709"/>
      <c r="H41" s="709"/>
      <c r="I41" s="710"/>
      <c r="J41" s="707" t="s">
        <v>36</v>
      </c>
      <c r="K41" s="831">
        <v>0</v>
      </c>
      <c r="L41" s="718">
        <f>IF(K41=0,0,3736)</f>
        <v>0</v>
      </c>
      <c r="M41" s="718">
        <f t="shared" si="4"/>
        <v>0</v>
      </c>
      <c r="N41" s="719">
        <f t="shared" si="5"/>
        <v>0</v>
      </c>
      <c r="O41" s="718">
        <f t="shared" si="6"/>
        <v>0</v>
      </c>
      <c r="P41" s="718">
        <f t="shared" si="7"/>
        <v>0</v>
      </c>
      <c r="Q41" s="718"/>
      <c r="W41" s="837">
        <f>2*3.142*0.5*3.3</f>
        <v>10.368599999999999</v>
      </c>
      <c r="X41" s="826">
        <f>W41/2</f>
        <v>5.1842999999999995</v>
      </c>
      <c r="AA41" s="826"/>
    </row>
    <row r="42" spans="1:27" ht="21.75">
      <c r="A42" s="707"/>
      <c r="B42" s="829"/>
      <c r="C42" s="709"/>
      <c r="D42" s="709" t="s">
        <v>695</v>
      </c>
      <c r="F42" s="709"/>
      <c r="G42" s="709"/>
      <c r="H42" s="709"/>
      <c r="I42" s="710"/>
      <c r="J42" s="707" t="s">
        <v>17</v>
      </c>
      <c r="K42" s="831">
        <v>0</v>
      </c>
      <c r="L42" s="718">
        <f>IF(K42=0,0,290)</f>
        <v>0</v>
      </c>
      <c r="M42" s="718">
        <f t="shared" si="4"/>
        <v>0</v>
      </c>
      <c r="N42" s="719">
        <f t="shared" si="5"/>
        <v>0</v>
      </c>
      <c r="O42" s="718">
        <f t="shared" si="6"/>
        <v>0</v>
      </c>
      <c r="P42" s="718">
        <f t="shared" si="7"/>
        <v>0</v>
      </c>
      <c r="Q42" s="718"/>
      <c r="W42" s="837">
        <f>2*3.142*0.5*3.97</f>
        <v>12.473739999999999</v>
      </c>
      <c r="X42" s="826">
        <f>W42</f>
        <v>12.473739999999999</v>
      </c>
      <c r="AA42" s="826"/>
    </row>
    <row r="43" spans="1:27" ht="21.75">
      <c r="A43" s="707"/>
      <c r="B43" s="829"/>
      <c r="C43" s="709"/>
      <c r="D43" s="709" t="s">
        <v>698</v>
      </c>
      <c r="F43" s="709"/>
      <c r="G43" s="709"/>
      <c r="H43" s="709"/>
      <c r="I43" s="710"/>
      <c r="J43" s="707" t="s">
        <v>699</v>
      </c>
      <c r="K43" s="831">
        <v>0</v>
      </c>
      <c r="L43" s="718">
        <f>IF(K43=0,0,500)</f>
        <v>0</v>
      </c>
      <c r="M43" s="718">
        <f t="shared" si="4"/>
        <v>0</v>
      </c>
      <c r="N43" s="719">
        <f t="shared" si="5"/>
        <v>0</v>
      </c>
      <c r="O43" s="718">
        <f t="shared" si="6"/>
        <v>0</v>
      </c>
      <c r="P43" s="718">
        <f t="shared" si="7"/>
        <v>0</v>
      </c>
      <c r="Q43" s="718"/>
      <c r="S43" s="837"/>
      <c r="W43" s="837"/>
      <c r="X43" s="826">
        <v>4.88</v>
      </c>
      <c r="AA43" s="826"/>
    </row>
    <row r="44" spans="1:27" ht="21.75">
      <c r="A44" s="707"/>
      <c r="B44" s="829"/>
      <c r="C44" s="709"/>
      <c r="D44" s="838" t="s">
        <v>696</v>
      </c>
      <c r="F44" s="838"/>
      <c r="G44" s="838"/>
      <c r="H44" s="838"/>
      <c r="I44" s="839"/>
      <c r="J44" s="707" t="s">
        <v>7</v>
      </c>
      <c r="K44" s="831">
        <v>0</v>
      </c>
      <c r="L44" s="718">
        <f>IF(K44=0,0,ราคาต้นทุนงานทาง!K1098)</f>
        <v>0</v>
      </c>
      <c r="M44" s="718">
        <f>K44*L44</f>
        <v>0</v>
      </c>
      <c r="N44" s="719">
        <f t="shared" si="5"/>
        <v>0</v>
      </c>
      <c r="O44" s="718">
        <f t="shared" si="6"/>
        <v>0</v>
      </c>
      <c r="P44" s="718">
        <f t="shared" si="7"/>
        <v>0</v>
      </c>
      <c r="Q44" s="718"/>
    </row>
    <row r="45" spans="1:27" ht="21.75">
      <c r="A45" s="707"/>
      <c r="B45" s="829"/>
      <c r="C45" s="709"/>
      <c r="D45" s="615" t="s">
        <v>697</v>
      </c>
      <c r="F45" s="615"/>
      <c r="G45" s="615"/>
      <c r="H45" s="615"/>
      <c r="I45" s="768"/>
      <c r="J45" s="707" t="s">
        <v>538</v>
      </c>
      <c r="K45" s="831">
        <v>0</v>
      </c>
      <c r="L45" s="718">
        <f>IF(K45=0,0,ราคาต้นทุนงานทาง!K1112)</f>
        <v>0</v>
      </c>
      <c r="M45" s="718">
        <f>K45*L45</f>
        <v>0</v>
      </c>
      <c r="N45" s="719">
        <f t="shared" si="5"/>
        <v>0</v>
      </c>
      <c r="O45" s="718">
        <f t="shared" si="6"/>
        <v>0</v>
      </c>
      <c r="P45" s="718">
        <f t="shared" si="7"/>
        <v>0</v>
      </c>
      <c r="Q45" s="718"/>
    </row>
    <row r="46" spans="1:27" ht="21.75">
      <c r="A46" s="707"/>
      <c r="B46" s="829"/>
      <c r="C46" s="709" t="s">
        <v>539</v>
      </c>
      <c r="D46" s="615" t="s">
        <v>542</v>
      </c>
      <c r="F46" s="615"/>
      <c r="G46" s="615"/>
      <c r="H46" s="615"/>
      <c r="I46" s="768"/>
      <c r="J46" s="707" t="s">
        <v>444</v>
      </c>
      <c r="K46" s="831">
        <v>0</v>
      </c>
      <c r="L46" s="718">
        <v>0</v>
      </c>
      <c r="M46" s="718">
        <f>K46*L46</f>
        <v>0</v>
      </c>
      <c r="N46" s="719">
        <f t="shared" si="5"/>
        <v>0</v>
      </c>
      <c r="O46" s="718">
        <f t="shared" si="6"/>
        <v>0</v>
      </c>
      <c r="P46" s="718">
        <f t="shared" si="7"/>
        <v>0</v>
      </c>
      <c r="Q46" s="718"/>
    </row>
    <row r="47" spans="1:27" ht="21.75">
      <c r="A47" s="707"/>
      <c r="B47" s="829"/>
      <c r="C47" s="709" t="s">
        <v>541</v>
      </c>
      <c r="D47" s="615" t="s">
        <v>540</v>
      </c>
      <c r="F47" s="615"/>
      <c r="G47" s="615"/>
      <c r="H47" s="615"/>
      <c r="I47" s="768"/>
      <c r="J47" s="707"/>
      <c r="K47" s="711"/>
      <c r="L47" s="840"/>
      <c r="M47" s="832"/>
      <c r="N47" s="719"/>
      <c r="O47" s="833"/>
      <c r="P47" s="832"/>
      <c r="Q47" s="832"/>
    </row>
    <row r="48" spans="1:27" ht="21.75">
      <c r="A48" s="707"/>
      <c r="B48" s="829"/>
      <c r="C48" s="709"/>
      <c r="D48" s="615" t="s">
        <v>700</v>
      </c>
      <c r="F48" s="615"/>
      <c r="G48" s="615"/>
      <c r="H48" s="615"/>
      <c r="I48" s="768"/>
      <c r="J48" s="707"/>
      <c r="K48" s="711"/>
      <c r="L48" s="840"/>
      <c r="M48" s="832"/>
      <c r="N48" s="719"/>
      <c r="O48" s="833"/>
      <c r="P48" s="832"/>
      <c r="Q48" s="832"/>
    </row>
    <row r="49" spans="1:27" ht="21.75">
      <c r="A49" s="707"/>
      <c r="B49" s="829"/>
      <c r="C49" s="709"/>
      <c r="D49" s="615" t="s">
        <v>873</v>
      </c>
      <c r="F49" s="615"/>
      <c r="G49" s="615"/>
      <c r="H49" s="615"/>
      <c r="I49" s="768"/>
      <c r="J49" s="707" t="s">
        <v>390</v>
      </c>
      <c r="K49" s="831">
        <v>0</v>
      </c>
      <c r="L49" s="718"/>
      <c r="M49" s="718">
        <f>K49*L49</f>
        <v>0</v>
      </c>
      <c r="N49" s="719">
        <f>IF(K49=0,0,$N$90)</f>
        <v>0</v>
      </c>
      <c r="O49" s="718">
        <f>ROUND(L49*N49,2)</f>
        <v>0</v>
      </c>
      <c r="P49" s="718">
        <f>M49*N49</f>
        <v>0</v>
      </c>
      <c r="Q49" s="718"/>
    </row>
    <row r="50" spans="1:27" ht="21.75">
      <c r="A50" s="707"/>
      <c r="B50" s="829"/>
      <c r="C50" s="709"/>
      <c r="D50" s="615" t="s">
        <v>874</v>
      </c>
      <c r="F50" s="615"/>
      <c r="G50" s="615"/>
      <c r="H50" s="615"/>
      <c r="I50" s="768"/>
      <c r="J50" s="707" t="s">
        <v>390</v>
      </c>
      <c r="K50" s="831">
        <v>0</v>
      </c>
      <c r="L50" s="718"/>
      <c r="M50" s="718">
        <f>K50*L50</f>
        <v>0</v>
      </c>
      <c r="N50" s="719">
        <f>IF(K50=0,0,$N$90)</f>
        <v>0</v>
      </c>
      <c r="O50" s="718">
        <f>ROUND(L50*N50,2)</f>
        <v>0</v>
      </c>
      <c r="P50" s="718">
        <f>M50*N50</f>
        <v>0</v>
      </c>
      <c r="Q50" s="718"/>
    </row>
    <row r="51" spans="1:27" ht="21.75">
      <c r="A51" s="707"/>
      <c r="B51" s="829"/>
      <c r="C51" s="709"/>
      <c r="D51" s="615" t="s">
        <v>898</v>
      </c>
      <c r="F51" s="615"/>
      <c r="G51" s="615"/>
      <c r="H51" s="615"/>
      <c r="I51" s="768"/>
      <c r="J51" s="707" t="s">
        <v>390</v>
      </c>
      <c r="K51" s="831">
        <v>0</v>
      </c>
      <c r="L51" s="718"/>
      <c r="M51" s="718">
        <f>K51*L51</f>
        <v>0</v>
      </c>
      <c r="N51" s="719">
        <f>IF(K51=0,0,$N$90)</f>
        <v>0</v>
      </c>
      <c r="O51" s="718">
        <f>ROUND(L51*N51,2)</f>
        <v>0</v>
      </c>
      <c r="P51" s="718">
        <f>M51*N51</f>
        <v>0</v>
      </c>
      <c r="Q51" s="718"/>
    </row>
    <row r="52" spans="1:27" ht="21.75">
      <c r="A52" s="707"/>
      <c r="B52" s="829"/>
      <c r="C52" s="709"/>
      <c r="D52" s="615" t="s">
        <v>899</v>
      </c>
      <c r="F52" s="615"/>
      <c r="G52" s="615"/>
      <c r="H52" s="615"/>
      <c r="I52" s="768"/>
      <c r="J52" s="707"/>
      <c r="K52" s="711"/>
      <c r="L52" s="840"/>
      <c r="M52" s="832"/>
      <c r="N52" s="719"/>
      <c r="O52" s="833"/>
      <c r="P52" s="832"/>
      <c r="Q52" s="832"/>
    </row>
    <row r="53" spans="1:27" ht="21.75">
      <c r="A53" s="707"/>
      <c r="B53" s="829"/>
      <c r="C53" s="709"/>
      <c r="D53" s="615" t="s">
        <v>900</v>
      </c>
      <c r="F53" s="615"/>
      <c r="G53" s="615"/>
      <c r="H53" s="615"/>
      <c r="I53" s="768"/>
      <c r="J53" s="707"/>
      <c r="K53" s="711"/>
      <c r="L53" s="840"/>
      <c r="M53" s="832"/>
      <c r="N53" s="719"/>
      <c r="O53" s="833"/>
      <c r="P53" s="832"/>
      <c r="Q53" s="832"/>
    </row>
    <row r="54" spans="1:27" ht="21.75">
      <c r="A54" s="707"/>
      <c r="B54" s="829"/>
      <c r="C54" s="709"/>
      <c r="D54" s="615" t="s">
        <v>880</v>
      </c>
      <c r="F54" s="615"/>
      <c r="G54" s="615"/>
      <c r="H54" s="615"/>
      <c r="I54" s="768"/>
      <c r="J54" s="707" t="s">
        <v>17</v>
      </c>
      <c r="K54" s="831">
        <v>0</v>
      </c>
      <c r="L54" s="718"/>
      <c r="M54" s="718">
        <f>K54*L54</f>
        <v>0</v>
      </c>
      <c r="N54" s="719">
        <f>IF(K54=0,0,$N$90)</f>
        <v>0</v>
      </c>
      <c r="O54" s="718">
        <f>ROUND(L54*N54,2)</f>
        <v>0</v>
      </c>
      <c r="P54" s="718">
        <f>M54*N54</f>
        <v>0</v>
      </c>
      <c r="Q54" s="718"/>
    </row>
    <row r="55" spans="1:27" ht="21.75">
      <c r="A55" s="707"/>
      <c r="B55" s="829"/>
      <c r="C55" s="709"/>
      <c r="D55" s="615" t="s">
        <v>901</v>
      </c>
      <c r="F55" s="615"/>
      <c r="G55" s="615"/>
      <c r="H55" s="615"/>
      <c r="I55" s="768"/>
      <c r="J55" s="707"/>
      <c r="K55" s="711"/>
      <c r="L55" s="840"/>
      <c r="M55" s="832"/>
      <c r="N55" s="719"/>
      <c r="O55" s="833"/>
      <c r="P55" s="832"/>
      <c r="Q55" s="832"/>
    </row>
    <row r="56" spans="1:27" ht="21.75">
      <c r="A56" s="707"/>
      <c r="B56" s="829"/>
      <c r="C56" s="709"/>
      <c r="D56" s="615" t="s">
        <v>880</v>
      </c>
      <c r="F56" s="615"/>
      <c r="G56" s="615"/>
      <c r="H56" s="615"/>
      <c r="I56" s="768"/>
      <c r="J56" s="707" t="s">
        <v>17</v>
      </c>
      <c r="K56" s="831">
        <v>0</v>
      </c>
      <c r="L56" s="718"/>
      <c r="M56" s="718">
        <f>K56*L56</f>
        <v>0</v>
      </c>
      <c r="N56" s="719">
        <f>IF(K56=0,0,$N$90)</f>
        <v>0</v>
      </c>
      <c r="O56" s="718">
        <f>ROUND(L56*N56,2)</f>
        <v>0</v>
      </c>
      <c r="P56" s="718">
        <f>M56*N56</f>
        <v>0</v>
      </c>
      <c r="Q56" s="718"/>
    </row>
    <row r="57" spans="1:27" ht="21.75">
      <c r="A57" s="707"/>
      <c r="B57" s="829"/>
      <c r="C57" s="709"/>
      <c r="D57" s="615" t="s">
        <v>902</v>
      </c>
      <c r="F57" s="615"/>
      <c r="G57" s="615"/>
      <c r="H57" s="615"/>
      <c r="I57" s="768"/>
      <c r="J57" s="707"/>
      <c r="K57" s="711"/>
      <c r="L57" s="840"/>
      <c r="M57" s="832"/>
      <c r="N57" s="719"/>
      <c r="O57" s="833"/>
      <c r="P57" s="832"/>
      <c r="Q57" s="832"/>
    </row>
    <row r="58" spans="1:27" ht="21.75">
      <c r="A58" s="707"/>
      <c r="B58" s="829"/>
      <c r="C58" s="709"/>
      <c r="D58" s="615" t="s">
        <v>880</v>
      </c>
      <c r="F58" s="615"/>
      <c r="G58" s="615"/>
      <c r="H58" s="615"/>
      <c r="I58" s="768"/>
      <c r="J58" s="707" t="s">
        <v>17</v>
      </c>
      <c r="K58" s="831">
        <v>0</v>
      </c>
      <c r="L58" s="718"/>
      <c r="M58" s="718">
        <f>K58*L58</f>
        <v>0</v>
      </c>
      <c r="N58" s="719">
        <f>IF(K58=0,0,$N$90)</f>
        <v>0</v>
      </c>
      <c r="O58" s="718">
        <f>ROUND(L58*N58,2)</f>
        <v>0</v>
      </c>
      <c r="P58" s="718">
        <f>M58*N58</f>
        <v>0</v>
      </c>
      <c r="Q58" s="718"/>
    </row>
    <row r="59" spans="1:27" ht="21.75">
      <c r="A59" s="707"/>
      <c r="B59" s="829"/>
      <c r="C59" s="709"/>
      <c r="D59" s="615" t="s">
        <v>903</v>
      </c>
      <c r="F59" s="615"/>
      <c r="G59" s="615"/>
      <c r="H59" s="615"/>
      <c r="I59" s="768"/>
      <c r="J59" s="707"/>
      <c r="K59" s="711"/>
      <c r="L59" s="840"/>
      <c r="M59" s="832"/>
      <c r="N59" s="719"/>
      <c r="O59" s="833"/>
      <c r="P59" s="832"/>
      <c r="Q59" s="832"/>
    </row>
    <row r="60" spans="1:27" ht="21.75">
      <c r="A60" s="707"/>
      <c r="B60" s="829"/>
      <c r="C60" s="709"/>
      <c r="D60" s="615" t="s">
        <v>880</v>
      </c>
      <c r="F60" s="615"/>
      <c r="G60" s="615"/>
      <c r="H60" s="615"/>
      <c r="I60" s="768"/>
      <c r="J60" s="707" t="s">
        <v>17</v>
      </c>
      <c r="K60" s="831">
        <v>0</v>
      </c>
      <c r="L60" s="718"/>
      <c r="M60" s="718">
        <f>K60*L60</f>
        <v>0</v>
      </c>
      <c r="N60" s="719">
        <f>IF(K60=0,0,$N$90)</f>
        <v>0</v>
      </c>
      <c r="O60" s="718">
        <f>ROUND(L60*N60,2)</f>
        <v>0</v>
      </c>
      <c r="P60" s="718">
        <f>M60*N60</f>
        <v>0</v>
      </c>
      <c r="Q60" s="718"/>
    </row>
    <row r="61" spans="1:27" ht="21.75">
      <c r="A61" s="819">
        <v>2</v>
      </c>
      <c r="B61" s="820" t="s">
        <v>2021</v>
      </c>
      <c r="C61" s="821"/>
      <c r="D61" s="821"/>
      <c r="E61" s="615"/>
      <c r="F61" s="615"/>
      <c r="G61" s="615"/>
      <c r="H61" s="615"/>
      <c r="I61" s="768"/>
      <c r="J61" s="707"/>
      <c r="K61" s="711"/>
      <c r="L61" s="840"/>
      <c r="M61" s="832"/>
      <c r="N61" s="719"/>
      <c r="O61" s="833"/>
      <c r="P61" s="832"/>
      <c r="Q61" s="832"/>
    </row>
    <row r="62" spans="1:27" ht="21.75">
      <c r="A62" s="707"/>
      <c r="B62" s="732">
        <v>2.1</v>
      </c>
      <c r="C62" s="709" t="s">
        <v>1193</v>
      </c>
      <c r="D62" s="709"/>
      <c r="E62" s="615"/>
      <c r="F62" s="827">
        <v>0</v>
      </c>
      <c r="G62" s="615"/>
      <c r="H62" s="615"/>
      <c r="I62" s="768"/>
      <c r="J62" s="707"/>
      <c r="K62" s="711"/>
      <c r="L62" s="840"/>
      <c r="M62" s="832"/>
      <c r="N62" s="719"/>
      <c r="O62" s="833"/>
      <c r="P62" s="832"/>
      <c r="Q62" s="832"/>
      <c r="S62" s="841" t="s">
        <v>1348</v>
      </c>
      <c r="T62" s="841" t="s">
        <v>1349</v>
      </c>
      <c r="Z62" s="807" t="s">
        <v>1348</v>
      </c>
      <c r="AA62" s="807" t="s">
        <v>1349</v>
      </c>
    </row>
    <row r="63" spans="1:27" ht="21.75">
      <c r="A63" s="707"/>
      <c r="B63" s="732"/>
      <c r="C63" s="709" t="s">
        <v>1194</v>
      </c>
      <c r="D63" s="1556" t="str">
        <f>U63</f>
        <v>1.50 x 1.50</v>
      </c>
      <c r="E63" s="1556"/>
      <c r="F63" s="615" t="s">
        <v>17</v>
      </c>
      <c r="G63" s="615" t="s">
        <v>1149</v>
      </c>
      <c r="H63" s="593">
        <v>0</v>
      </c>
      <c r="I63" s="768" t="s">
        <v>17</v>
      </c>
      <c r="J63" s="707"/>
      <c r="K63" s="711"/>
      <c r="L63" s="840"/>
      <c r="M63" s="832"/>
      <c r="N63" s="719"/>
      <c r="O63" s="833"/>
      <c r="P63" s="832"/>
      <c r="Q63" s="832"/>
      <c r="S63" s="841">
        <v>1</v>
      </c>
      <c r="T63" s="841" t="s">
        <v>1350</v>
      </c>
      <c r="U63" s="807" t="str">
        <f>IF(S63=0,0,IF(S63=1,T63,S63&amp;" - "&amp;T63))</f>
        <v>1.50 x 1.50</v>
      </c>
      <c r="Z63" s="842">
        <v>0</v>
      </c>
      <c r="AA63" s="807" t="s">
        <v>10</v>
      </c>
    </row>
    <row r="64" spans="1:27" ht="21.75">
      <c r="A64" s="707"/>
      <c r="B64" s="829"/>
      <c r="C64" s="767" t="s">
        <v>701</v>
      </c>
      <c r="D64" s="615" t="s">
        <v>702</v>
      </c>
      <c r="F64" s="615"/>
      <c r="G64" s="615"/>
      <c r="H64" s="615"/>
      <c r="I64" s="768"/>
      <c r="J64" s="707" t="s">
        <v>6</v>
      </c>
      <c r="K64" s="831">
        <v>0</v>
      </c>
      <c r="L64" s="718">
        <f>IF(K64=0,0,ราคาต้นทุนงานทาง!H1117)</f>
        <v>0</v>
      </c>
      <c r="M64" s="718">
        <f t="shared" ref="M64:M72" si="8">K64*L64</f>
        <v>0</v>
      </c>
      <c r="N64" s="719">
        <f>IF(K64=0,0,$N$90)</f>
        <v>0</v>
      </c>
      <c r="O64" s="718">
        <f>ROUNDDOWN(L64*N64,2)</f>
        <v>0</v>
      </c>
      <c r="P64" s="718">
        <f>ROUNDDOWN(M64*N64,2)</f>
        <v>0</v>
      </c>
      <c r="Q64" s="718"/>
      <c r="Z64" s="842">
        <v>1</v>
      </c>
      <c r="AA64" s="807" t="s">
        <v>1354</v>
      </c>
    </row>
    <row r="65" spans="1:27" ht="21.75">
      <c r="A65" s="707"/>
      <c r="B65" s="829"/>
      <c r="C65" s="767" t="s">
        <v>703</v>
      </c>
      <c r="D65" s="615" t="s">
        <v>704</v>
      </c>
      <c r="F65" s="615"/>
      <c r="G65" s="615"/>
      <c r="H65" s="615"/>
      <c r="I65" s="768"/>
      <c r="J65" s="707" t="s">
        <v>6</v>
      </c>
      <c r="K65" s="831">
        <v>0</v>
      </c>
      <c r="L65" s="718">
        <f>IF(K65=0,0,ราคาต้นทุนงานทาง!H1118)</f>
        <v>0</v>
      </c>
      <c r="M65" s="718">
        <f t="shared" si="8"/>
        <v>0</v>
      </c>
      <c r="N65" s="719">
        <f>IF(K65=0,0,$N$90)</f>
        <v>0</v>
      </c>
      <c r="O65" s="718">
        <f>ROUNDDOWN(L65*N65,2)</f>
        <v>0</v>
      </c>
      <c r="P65" s="718">
        <f>ROUNDDOWN(M65*N65,2)</f>
        <v>0</v>
      </c>
      <c r="Q65" s="718"/>
      <c r="Z65" s="842">
        <v>2</v>
      </c>
      <c r="AA65" s="807" t="s">
        <v>1350</v>
      </c>
    </row>
    <row r="66" spans="1:27" ht="21.75">
      <c r="A66" s="707"/>
      <c r="B66" s="829"/>
      <c r="C66" s="767" t="s">
        <v>705</v>
      </c>
      <c r="D66" s="615" t="s">
        <v>2014</v>
      </c>
      <c r="F66" s="615"/>
      <c r="G66" s="615"/>
      <c r="H66" s="1452" t="str">
        <f>D63</f>
        <v>1.50 x 1.50</v>
      </c>
      <c r="I66" s="768" t="s">
        <v>17</v>
      </c>
      <c r="J66" s="707" t="s">
        <v>17</v>
      </c>
      <c r="K66" s="831">
        <f>R66</f>
        <v>0</v>
      </c>
      <c r="L66" s="718">
        <f>IF(K66=0,0,ราคาต้นทุนงานทาง!H1119)</f>
        <v>0</v>
      </c>
      <c r="M66" s="718">
        <f>K66*L66</f>
        <v>0</v>
      </c>
      <c r="N66" s="719">
        <f>IF(K66=0,0,$N$90)</f>
        <v>0</v>
      </c>
      <c r="O66" s="718">
        <f>ROUNDDOWN(L66*N66,2)</f>
        <v>0</v>
      </c>
      <c r="P66" s="718">
        <f>ROUNDDOWN(M66*N66,2)</f>
        <v>0</v>
      </c>
      <c r="Q66" s="718"/>
      <c r="R66" s="837">
        <f>(H63-2)*0</f>
        <v>0</v>
      </c>
      <c r="Z66" s="842"/>
      <c r="AA66" s="1451"/>
    </row>
    <row r="67" spans="1:27" ht="21.75">
      <c r="A67" s="707"/>
      <c r="B67" s="829"/>
      <c r="C67" s="767" t="s">
        <v>706</v>
      </c>
      <c r="D67" s="615" t="s">
        <v>2015</v>
      </c>
      <c r="F67" s="615"/>
      <c r="G67" s="615"/>
      <c r="H67" s="615"/>
      <c r="I67" s="768"/>
      <c r="J67" s="707" t="s">
        <v>17</v>
      </c>
      <c r="K67" s="831">
        <f>R67</f>
        <v>0</v>
      </c>
      <c r="L67" s="718">
        <f>IF(K67=0,0,ราคาต้นทุนงานทาง!H1120)</f>
        <v>0</v>
      </c>
      <c r="M67" s="718">
        <f>K67*L67</f>
        <v>0</v>
      </c>
      <c r="N67" s="719">
        <f>IF(K67=0,0,$N$90)</f>
        <v>0</v>
      </c>
      <c r="O67" s="718">
        <f>ROUNDDOWN(L67*N67,2)</f>
        <v>0</v>
      </c>
      <c r="P67" s="718">
        <f>ROUNDDOWN(M67*N67,2)</f>
        <v>0</v>
      </c>
      <c r="Q67" s="718"/>
      <c r="R67" s="837">
        <f>R66</f>
        <v>0</v>
      </c>
      <c r="Z67" s="842"/>
      <c r="AA67" s="1451"/>
    </row>
    <row r="68" spans="1:27" ht="21.75">
      <c r="A68" s="707"/>
      <c r="B68" s="829"/>
      <c r="C68" s="767" t="s">
        <v>707</v>
      </c>
      <c r="D68" s="615" t="s">
        <v>1364</v>
      </c>
      <c r="F68" s="615"/>
      <c r="G68" s="615"/>
      <c r="H68" s="615"/>
      <c r="I68" s="768"/>
      <c r="J68" s="707"/>
      <c r="K68" s="831"/>
      <c r="L68" s="718"/>
      <c r="M68" s="718"/>
      <c r="N68" s="719"/>
      <c r="O68" s="718"/>
      <c r="P68" s="718"/>
      <c r="Q68" s="718"/>
      <c r="Z68" s="842">
        <v>3</v>
      </c>
      <c r="AA68" s="807" t="s">
        <v>1351</v>
      </c>
    </row>
    <row r="69" spans="1:27" ht="21.75">
      <c r="A69" s="707"/>
      <c r="B69" s="829"/>
      <c r="C69" s="767"/>
      <c r="D69" s="843" t="s">
        <v>2016</v>
      </c>
      <c r="F69" s="615"/>
      <c r="G69" s="615"/>
      <c r="H69" s="615"/>
      <c r="I69" s="768"/>
      <c r="J69" s="707" t="s">
        <v>6</v>
      </c>
      <c r="K69" s="831">
        <v>0</v>
      </c>
      <c r="L69" s="718">
        <f>IF(K69=0,0,ราคาต้นทุนงานทาง!H1122)</f>
        <v>0</v>
      </c>
      <c r="M69" s="718">
        <f>K69*L69</f>
        <v>0</v>
      </c>
      <c r="N69" s="719">
        <f>IF(K69=0,0,$N$90)</f>
        <v>0</v>
      </c>
      <c r="O69" s="718">
        <f>ROUNDDOWN(L69*N69,2)</f>
        <v>0</v>
      </c>
      <c r="P69" s="718">
        <f>ROUNDDOWN(M69*N69,2)</f>
        <v>0</v>
      </c>
      <c r="Q69" s="718"/>
      <c r="Z69" s="842">
        <v>4</v>
      </c>
      <c r="AA69" s="807" t="s">
        <v>1352</v>
      </c>
    </row>
    <row r="70" spans="1:27" ht="21.75">
      <c r="A70" s="707"/>
      <c r="B70" s="829"/>
      <c r="C70" s="767"/>
      <c r="D70" s="843" t="s">
        <v>2017</v>
      </c>
      <c r="F70" s="615"/>
      <c r="G70" s="615"/>
      <c r="H70" s="615"/>
      <c r="I70" s="768"/>
      <c r="J70" s="707" t="s">
        <v>6</v>
      </c>
      <c r="K70" s="831">
        <v>0</v>
      </c>
      <c r="L70" s="718">
        <f>IF(K70=0,0,ราคาต้นทุนงานทาง!H1123)</f>
        <v>0</v>
      </c>
      <c r="M70" s="718">
        <f>K70*L70</f>
        <v>0</v>
      </c>
      <c r="N70" s="719">
        <f>IF(K70=0,0,$N$90)</f>
        <v>0</v>
      </c>
      <c r="O70" s="718">
        <f>ROUNDDOWN(L70*N70,2)</f>
        <v>0</v>
      </c>
      <c r="P70" s="718">
        <f>ROUNDDOWN(M70*N70,2)</f>
        <v>0</v>
      </c>
      <c r="Q70" s="718"/>
      <c r="AA70" s="807" t="s">
        <v>1353</v>
      </c>
    </row>
    <row r="71" spans="1:27" ht="21.75">
      <c r="A71" s="707"/>
      <c r="B71" s="829"/>
      <c r="C71" s="767" t="s">
        <v>708</v>
      </c>
      <c r="D71" s="615" t="s">
        <v>1355</v>
      </c>
      <c r="F71" s="615"/>
      <c r="G71" s="615"/>
      <c r="H71" s="615"/>
      <c r="I71" s="768"/>
      <c r="J71" s="707" t="s">
        <v>7</v>
      </c>
      <c r="K71" s="831">
        <v>0</v>
      </c>
      <c r="L71" s="718">
        <f>IF(K71=0,0,ราคาต้นทุนงานทาง!H1124)</f>
        <v>0</v>
      </c>
      <c r="M71" s="718">
        <f t="shared" si="8"/>
        <v>0</v>
      </c>
      <c r="N71" s="719">
        <f>IF(K71=0,0,$N$90)</f>
        <v>0</v>
      </c>
      <c r="O71" s="718">
        <f>ROUNDDOWN(L71*N71,2)</f>
        <v>0</v>
      </c>
      <c r="P71" s="718">
        <f>ROUNDDOWN(M71*N71,2)</f>
        <v>0</v>
      </c>
      <c r="Q71" s="718"/>
    </row>
    <row r="72" spans="1:27" ht="21.75">
      <c r="A72" s="707"/>
      <c r="B72" s="829"/>
      <c r="C72" s="767" t="s">
        <v>712</v>
      </c>
      <c r="D72" s="615" t="s">
        <v>222</v>
      </c>
      <c r="F72" s="615"/>
      <c r="G72" s="615"/>
      <c r="H72" s="615"/>
      <c r="I72" s="768"/>
      <c r="J72" s="707" t="s">
        <v>6</v>
      </c>
      <c r="K72" s="831">
        <v>0</v>
      </c>
      <c r="L72" s="718">
        <f>IF(K72=0,0,ราคาต้นทุนงานทาง!H1125)</f>
        <v>0</v>
      </c>
      <c r="M72" s="718">
        <f t="shared" si="8"/>
        <v>0</v>
      </c>
      <c r="N72" s="719">
        <f>IF(K72=0,0,$N$90)</f>
        <v>0</v>
      </c>
      <c r="O72" s="718">
        <f>ROUNDDOWN(L72*N72,2)</f>
        <v>0</v>
      </c>
      <c r="P72" s="718">
        <f>ROUNDDOWN(M72*N72,2)</f>
        <v>0</v>
      </c>
      <c r="Q72" s="718"/>
      <c r="S72" s="667" t="s">
        <v>1497</v>
      </c>
    </row>
    <row r="73" spans="1:27" ht="21.75">
      <c r="A73" s="707"/>
      <c r="B73" s="829"/>
      <c r="C73" s="767" t="s">
        <v>2010</v>
      </c>
      <c r="D73" s="615" t="s">
        <v>709</v>
      </c>
      <c r="F73" s="615"/>
      <c r="G73" s="615"/>
      <c r="H73" s="615"/>
      <c r="I73" s="768"/>
      <c r="J73" s="707"/>
      <c r="K73" s="711"/>
      <c r="L73" s="718"/>
      <c r="M73" s="832"/>
      <c r="N73" s="719"/>
      <c r="O73" s="833"/>
      <c r="P73" s="832"/>
      <c r="Q73" s="832"/>
      <c r="R73" s="807" t="s">
        <v>1496</v>
      </c>
      <c r="S73" s="844">
        <v>0.1</v>
      </c>
      <c r="T73" s="807" t="s">
        <v>1498</v>
      </c>
    </row>
    <row r="74" spans="1:27" ht="21.75">
      <c r="A74" s="707"/>
      <c r="B74" s="829"/>
      <c r="C74" s="767"/>
      <c r="D74" s="615" t="s">
        <v>1356</v>
      </c>
      <c r="F74" s="615"/>
      <c r="G74" s="615"/>
      <c r="H74" s="615"/>
      <c r="I74" s="768"/>
      <c r="J74" s="707" t="s">
        <v>46</v>
      </c>
      <c r="K74" s="831">
        <f>T74</f>
        <v>0</v>
      </c>
      <c r="L74" s="718">
        <f>IF(K74=0,0,ราคาต้นทุนงานทาง!H1127)</f>
        <v>0</v>
      </c>
      <c r="M74" s="718">
        <f t="shared" ref="M74:M82" si="9">K74*L74</f>
        <v>0</v>
      </c>
      <c r="N74" s="719">
        <f>IF(K74=0,0,$N$90)</f>
        <v>0</v>
      </c>
      <c r="O74" s="718">
        <f t="shared" ref="O74:O83" si="10">ROUNDDOWN(L74*N74,2)</f>
        <v>0</v>
      </c>
      <c r="P74" s="718">
        <f t="shared" ref="P74:P83" si="11">ROUNDDOWN(M74*N74,2)</f>
        <v>0</v>
      </c>
      <c r="Q74" s="718"/>
      <c r="R74" s="845">
        <v>0</v>
      </c>
      <c r="S74" s="845">
        <f>ROUNDDOWN(R74*$S$73,2)</f>
        <v>0</v>
      </c>
      <c r="T74" s="845">
        <f t="shared" ref="T74:T80" si="12">R74+S74</f>
        <v>0</v>
      </c>
    </row>
    <row r="75" spans="1:27" ht="21.75">
      <c r="A75" s="707"/>
      <c r="B75" s="829"/>
      <c r="C75" s="767"/>
      <c r="D75" s="615" t="s">
        <v>1357</v>
      </c>
      <c r="F75" s="615"/>
      <c r="G75" s="615"/>
      <c r="H75" s="615"/>
      <c r="I75" s="768"/>
      <c r="J75" s="707" t="s">
        <v>46</v>
      </c>
      <c r="K75" s="831">
        <f t="shared" ref="K75:K80" si="13">T75</f>
        <v>0</v>
      </c>
      <c r="L75" s="718">
        <f>IF(K75=0,0,ราคาต้นทุนงานทาง!H1128)</f>
        <v>0</v>
      </c>
      <c r="M75" s="718">
        <f t="shared" si="9"/>
        <v>0</v>
      </c>
      <c r="N75" s="719">
        <f>IF(K75=0,0,$N$90)</f>
        <v>0</v>
      </c>
      <c r="O75" s="718">
        <f t="shared" si="10"/>
        <v>0</v>
      </c>
      <c r="P75" s="718">
        <f t="shared" si="11"/>
        <v>0</v>
      </c>
      <c r="Q75" s="718"/>
      <c r="R75" s="845">
        <v>0</v>
      </c>
      <c r="S75" s="845">
        <f t="shared" ref="S75:S80" si="14">ROUNDDOWN(R75*$S$73,2)</f>
        <v>0</v>
      </c>
      <c r="T75" s="845">
        <f t="shared" si="12"/>
        <v>0</v>
      </c>
    </row>
    <row r="76" spans="1:27" ht="21.75">
      <c r="A76" s="707"/>
      <c r="B76" s="829"/>
      <c r="C76" s="767"/>
      <c r="D76" s="615" t="s">
        <v>1494</v>
      </c>
      <c r="F76" s="615"/>
      <c r="G76" s="615"/>
      <c r="H76" s="615"/>
      <c r="I76" s="768"/>
      <c r="J76" s="707" t="s">
        <v>46</v>
      </c>
      <c r="K76" s="831">
        <f t="shared" si="13"/>
        <v>0</v>
      </c>
      <c r="L76" s="718">
        <f>IF(K76=0,0,ราคาต้นทุนงานทาง!H1129)</f>
        <v>0</v>
      </c>
      <c r="M76" s="718">
        <f>K76*L76</f>
        <v>0</v>
      </c>
      <c r="N76" s="719">
        <f>IF(K76=0,0,$N$90)</f>
        <v>0</v>
      </c>
      <c r="O76" s="718">
        <f t="shared" si="10"/>
        <v>0</v>
      </c>
      <c r="P76" s="718">
        <f t="shared" si="11"/>
        <v>0</v>
      </c>
      <c r="Q76" s="718"/>
      <c r="R76" s="845">
        <v>0</v>
      </c>
      <c r="S76" s="845">
        <f t="shared" si="14"/>
        <v>0</v>
      </c>
      <c r="T76" s="845">
        <f t="shared" si="12"/>
        <v>0</v>
      </c>
    </row>
    <row r="77" spans="1:27" ht="21.75">
      <c r="A77" s="707"/>
      <c r="B77" s="829"/>
      <c r="C77" s="767"/>
      <c r="D77" s="615" t="s">
        <v>1358</v>
      </c>
      <c r="F77" s="615"/>
      <c r="G77" s="615"/>
      <c r="H77" s="615"/>
      <c r="I77" s="768"/>
      <c r="J77" s="707" t="s">
        <v>46</v>
      </c>
      <c r="K77" s="831">
        <f t="shared" si="13"/>
        <v>0</v>
      </c>
      <c r="L77" s="718">
        <f>IF(K77=0,0,ราคาต้นทุนงานทาง!H1130)</f>
        <v>0</v>
      </c>
      <c r="M77" s="718">
        <f t="shared" si="9"/>
        <v>0</v>
      </c>
      <c r="N77" s="719">
        <f t="shared" ref="N77:N82" si="15">IF(K77=0,0,$N$90)</f>
        <v>0</v>
      </c>
      <c r="O77" s="718">
        <f t="shared" si="10"/>
        <v>0</v>
      </c>
      <c r="P77" s="718">
        <f t="shared" si="11"/>
        <v>0</v>
      </c>
      <c r="Q77" s="718"/>
      <c r="R77" s="845">
        <v>0</v>
      </c>
      <c r="S77" s="845">
        <f t="shared" si="14"/>
        <v>0</v>
      </c>
      <c r="T77" s="845">
        <f t="shared" si="12"/>
        <v>0</v>
      </c>
    </row>
    <row r="78" spans="1:27" ht="21.75">
      <c r="A78" s="707"/>
      <c r="B78" s="829"/>
      <c r="C78" s="767"/>
      <c r="D78" s="615" t="s">
        <v>1359</v>
      </c>
      <c r="F78" s="615"/>
      <c r="G78" s="615"/>
      <c r="H78" s="615"/>
      <c r="I78" s="768"/>
      <c r="J78" s="707" t="s">
        <v>46</v>
      </c>
      <c r="K78" s="831">
        <f t="shared" si="13"/>
        <v>0</v>
      </c>
      <c r="L78" s="718">
        <f>IF(K78=0,0,ราคาต้นทุนงานทาง!H1131)</f>
        <v>0</v>
      </c>
      <c r="M78" s="718">
        <f t="shared" si="9"/>
        <v>0</v>
      </c>
      <c r="N78" s="719">
        <f t="shared" si="15"/>
        <v>0</v>
      </c>
      <c r="O78" s="718">
        <f t="shared" si="10"/>
        <v>0</v>
      </c>
      <c r="P78" s="718">
        <f t="shared" si="11"/>
        <v>0</v>
      </c>
      <c r="Q78" s="718"/>
      <c r="R78" s="845">
        <v>0</v>
      </c>
      <c r="S78" s="845">
        <f t="shared" si="14"/>
        <v>0</v>
      </c>
      <c r="T78" s="845">
        <f t="shared" si="12"/>
        <v>0</v>
      </c>
    </row>
    <row r="79" spans="1:27" ht="21.75">
      <c r="A79" s="707"/>
      <c r="B79" s="829"/>
      <c r="C79" s="767"/>
      <c r="D79" s="615" t="s">
        <v>1360</v>
      </c>
      <c r="F79" s="615"/>
      <c r="G79" s="615"/>
      <c r="H79" s="615"/>
      <c r="I79" s="768"/>
      <c r="J79" s="707" t="s">
        <v>46</v>
      </c>
      <c r="K79" s="831">
        <f t="shared" si="13"/>
        <v>0</v>
      </c>
      <c r="L79" s="718">
        <f>IF(K79=0,0,ราคาต้นทุนงานทาง!H1132)</f>
        <v>0</v>
      </c>
      <c r="M79" s="718">
        <f t="shared" si="9"/>
        <v>0</v>
      </c>
      <c r="N79" s="719">
        <f t="shared" si="15"/>
        <v>0</v>
      </c>
      <c r="O79" s="718">
        <f t="shared" si="10"/>
        <v>0</v>
      </c>
      <c r="P79" s="718">
        <f t="shared" si="11"/>
        <v>0</v>
      </c>
      <c r="Q79" s="718"/>
      <c r="R79" s="845">
        <v>0</v>
      </c>
      <c r="S79" s="845">
        <f t="shared" si="14"/>
        <v>0</v>
      </c>
      <c r="T79" s="845">
        <f t="shared" si="12"/>
        <v>0</v>
      </c>
    </row>
    <row r="80" spans="1:27" ht="21.75">
      <c r="A80" s="707"/>
      <c r="B80" s="829"/>
      <c r="C80" s="767"/>
      <c r="D80" s="615" t="s">
        <v>1361</v>
      </c>
      <c r="F80" s="615"/>
      <c r="G80" s="615"/>
      <c r="H80" s="615"/>
      <c r="I80" s="768"/>
      <c r="J80" s="707" t="s">
        <v>46</v>
      </c>
      <c r="K80" s="831">
        <f t="shared" si="13"/>
        <v>0</v>
      </c>
      <c r="L80" s="718">
        <f>IF(K80=0,0,ราคาต้นทุนงานทาง!H1133)</f>
        <v>0</v>
      </c>
      <c r="M80" s="718">
        <f t="shared" si="9"/>
        <v>0</v>
      </c>
      <c r="N80" s="719">
        <f t="shared" si="15"/>
        <v>0</v>
      </c>
      <c r="O80" s="718">
        <f t="shared" si="10"/>
        <v>0</v>
      </c>
      <c r="P80" s="718">
        <f t="shared" si="11"/>
        <v>0</v>
      </c>
      <c r="Q80" s="718"/>
      <c r="R80" s="845">
        <v>0</v>
      </c>
      <c r="S80" s="845">
        <f t="shared" si="14"/>
        <v>0</v>
      </c>
      <c r="T80" s="845">
        <f t="shared" si="12"/>
        <v>0</v>
      </c>
    </row>
    <row r="81" spans="1:19" ht="21.75">
      <c r="A81" s="707"/>
      <c r="B81" s="829"/>
      <c r="C81" s="767"/>
      <c r="D81" s="615" t="s">
        <v>710</v>
      </c>
      <c r="F81" s="615"/>
      <c r="G81" s="615"/>
      <c r="H81" s="615"/>
      <c r="I81" s="768"/>
      <c r="J81" s="707" t="s">
        <v>46</v>
      </c>
      <c r="K81" s="831">
        <f>SUM(K74:K80)</f>
        <v>0</v>
      </c>
      <c r="L81" s="718">
        <f>IF(K81=0,0,ราคาต้นทุนงานทาง!H1134)</f>
        <v>0</v>
      </c>
      <c r="M81" s="718">
        <f t="shared" si="9"/>
        <v>0</v>
      </c>
      <c r="N81" s="719">
        <f t="shared" si="15"/>
        <v>0</v>
      </c>
      <c r="O81" s="718">
        <f t="shared" si="10"/>
        <v>0</v>
      </c>
      <c r="P81" s="718">
        <f t="shared" si="11"/>
        <v>0</v>
      </c>
      <c r="Q81" s="718"/>
    </row>
    <row r="82" spans="1:19" ht="21.75">
      <c r="A82" s="707"/>
      <c r="B82" s="829"/>
      <c r="C82" s="767"/>
      <c r="D82" s="615" t="s">
        <v>711</v>
      </c>
      <c r="F82" s="615"/>
      <c r="G82" s="615"/>
      <c r="H82" s="615"/>
      <c r="I82" s="768"/>
      <c r="J82" s="707" t="s">
        <v>46</v>
      </c>
      <c r="K82" s="831">
        <f>K81*0.025</f>
        <v>0</v>
      </c>
      <c r="L82" s="718">
        <f>IF(K82=0,0,ราคาต้นทุนงานทาง!H1135)</f>
        <v>0</v>
      </c>
      <c r="M82" s="718">
        <f t="shared" si="9"/>
        <v>0</v>
      </c>
      <c r="N82" s="719">
        <f t="shared" si="15"/>
        <v>0</v>
      </c>
      <c r="O82" s="718">
        <f t="shared" si="10"/>
        <v>0</v>
      </c>
      <c r="P82" s="718">
        <f t="shared" si="11"/>
        <v>0</v>
      </c>
      <c r="Q82" s="718"/>
      <c r="R82" s="807" t="s">
        <v>1382</v>
      </c>
      <c r="S82" s="807" t="s">
        <v>1381</v>
      </c>
    </row>
    <row r="83" spans="1:19" ht="21.75">
      <c r="A83" s="707"/>
      <c r="B83" s="829"/>
      <c r="C83" s="767" t="s">
        <v>2011</v>
      </c>
      <c r="D83" s="615" t="s">
        <v>1365</v>
      </c>
      <c r="F83" s="615"/>
      <c r="G83" s="615"/>
      <c r="H83" s="615"/>
      <c r="I83" s="768"/>
      <c r="J83" s="707" t="s">
        <v>1146</v>
      </c>
      <c r="K83" s="831">
        <v>0</v>
      </c>
      <c r="L83" s="718">
        <f>IF(K83=0,0,ราคาต้นทุนงานทาง!H1136)</f>
        <v>0</v>
      </c>
      <c r="M83" s="718">
        <f>K83*L83</f>
        <v>0</v>
      </c>
      <c r="N83" s="719">
        <f>IF(K83=0,0,$N$90)</f>
        <v>0</v>
      </c>
      <c r="O83" s="718">
        <f t="shared" si="10"/>
        <v>0</v>
      </c>
      <c r="P83" s="718">
        <f t="shared" si="11"/>
        <v>0</v>
      </c>
      <c r="Q83" s="718"/>
      <c r="R83" s="846">
        <f>SUM(P64:P83)</f>
        <v>0</v>
      </c>
      <c r="S83" s="846" t="e">
        <f>ROUNDDOWN(R83/H63,0)</f>
        <v>#DIV/0!</v>
      </c>
    </row>
    <row r="84" spans="1:19" ht="21.75">
      <c r="A84" s="707"/>
      <c r="B84" s="829"/>
      <c r="C84" s="767" t="s">
        <v>2012</v>
      </c>
      <c r="D84" s="615" t="s">
        <v>2013</v>
      </c>
      <c r="F84" s="615"/>
      <c r="G84" s="615"/>
      <c r="H84" s="615"/>
      <c r="I84" s="768"/>
      <c r="J84" s="707" t="s">
        <v>6</v>
      </c>
      <c r="K84" s="831"/>
      <c r="L84" s="718"/>
      <c r="M84" s="718">
        <f>K84*L84</f>
        <v>0</v>
      </c>
      <c r="N84" s="719">
        <f>IF(K84=0,0,$N$90)</f>
        <v>0</v>
      </c>
      <c r="O84" s="718">
        <f>ROUNDDOWN(L84*N84,2)</f>
        <v>0</v>
      </c>
      <c r="P84" s="718">
        <f>ROUNDDOWN(M84*N84,2)</f>
        <v>0</v>
      </c>
      <c r="Q84" s="718"/>
      <c r="R84" s="846"/>
      <c r="S84" s="846"/>
    </row>
    <row r="85" spans="1:19" ht="21.75">
      <c r="A85" s="707"/>
      <c r="B85" s="732">
        <v>2.2000000000000002</v>
      </c>
      <c r="C85" s="709" t="s">
        <v>1368</v>
      </c>
      <c r="D85" s="615"/>
      <c r="F85" s="615"/>
      <c r="G85" s="615"/>
      <c r="H85" s="615"/>
      <c r="I85" s="768"/>
      <c r="J85" s="707"/>
      <c r="K85" s="831"/>
      <c r="L85" s="718"/>
      <c r="M85" s="718"/>
      <c r="N85" s="719"/>
      <c r="O85" s="718"/>
      <c r="P85" s="718"/>
      <c r="Q85" s="718"/>
    </row>
    <row r="86" spans="1:19" ht="21.75">
      <c r="A86" s="707"/>
      <c r="B86" s="767"/>
      <c r="C86" s="767" t="s">
        <v>47</v>
      </c>
      <c r="D86" s="615" t="s">
        <v>542</v>
      </c>
      <c r="F86" s="615"/>
      <c r="G86" s="615"/>
      <c r="H86" s="615"/>
      <c r="I86" s="768"/>
      <c r="J86" s="707" t="s">
        <v>17</v>
      </c>
      <c r="K86" s="831">
        <v>0</v>
      </c>
      <c r="L86" s="718">
        <f>IF(K86=0,0,ราคาต้นทุนงานทาง!K1150)</f>
        <v>0</v>
      </c>
      <c r="M86" s="718">
        <f>K86*L86</f>
        <v>0</v>
      </c>
      <c r="N86" s="719">
        <f>IF(K86=0,0,$N$90)</f>
        <v>0</v>
      </c>
      <c r="O86" s="718">
        <f>ROUNDDOWN(L86*N86,2)</f>
        <v>0</v>
      </c>
      <c r="P86" s="718">
        <f>ROUNDDOWN(M86*N86,2)</f>
        <v>0</v>
      </c>
      <c r="Q86" s="718"/>
    </row>
    <row r="87" spans="1:19" ht="21.75">
      <c r="A87" s="707"/>
      <c r="B87" s="767"/>
      <c r="C87" s="767" t="s">
        <v>641</v>
      </c>
      <c r="D87" s="615" t="s">
        <v>1366</v>
      </c>
      <c r="F87" s="615"/>
      <c r="G87" s="615"/>
      <c r="H87" s="615"/>
      <c r="I87" s="768"/>
      <c r="J87" s="707" t="s">
        <v>17</v>
      </c>
      <c r="K87" s="831">
        <v>0</v>
      </c>
      <c r="L87" s="718">
        <f>IF(K87=0,0,ราคาต้นทุนงานทาง!H1153)</f>
        <v>0</v>
      </c>
      <c r="M87" s="718">
        <f>K87*L87</f>
        <v>0</v>
      </c>
      <c r="N87" s="719">
        <f>IF(K87=0,0,$N$90)</f>
        <v>0</v>
      </c>
      <c r="O87" s="718">
        <f>ROUNDDOWN(L87*N87,2)</f>
        <v>0</v>
      </c>
      <c r="P87" s="718">
        <f>ROUNDDOWN(M87*N87,2)</f>
        <v>0</v>
      </c>
      <c r="Q87" s="718"/>
    </row>
    <row r="88" spans="1:19" ht="21.75">
      <c r="A88" s="707"/>
      <c r="B88" s="829"/>
      <c r="C88" s="709"/>
      <c r="D88" s="709"/>
      <c r="E88" s="615"/>
      <c r="F88" s="615"/>
      <c r="G88" s="615"/>
      <c r="H88" s="615"/>
      <c r="I88" s="768"/>
      <c r="J88" s="707"/>
      <c r="K88" s="711"/>
      <c r="L88" s="840"/>
      <c r="M88" s="832"/>
      <c r="N88" s="719"/>
      <c r="O88" s="833"/>
      <c r="P88" s="832"/>
      <c r="Q88" s="832"/>
    </row>
    <row r="89" spans="1:19" ht="21.75">
      <c r="A89" s="771"/>
      <c r="B89" s="847"/>
      <c r="C89" s="848" t="s">
        <v>37</v>
      </c>
      <c r="D89" s="848"/>
      <c r="E89" s="774"/>
      <c r="F89" s="774"/>
      <c r="G89" s="774"/>
      <c r="H89" s="774"/>
      <c r="I89" s="775"/>
      <c r="J89" s="771"/>
      <c r="K89" s="776"/>
      <c r="L89" s="849"/>
      <c r="M89" s="850">
        <f>SUM(M11:M88)</f>
        <v>0</v>
      </c>
      <c r="N89" s="851"/>
      <c r="O89" s="852"/>
      <c r="P89" s="853"/>
      <c r="Q89" s="853"/>
    </row>
    <row r="90" spans="1:19" ht="21.75">
      <c r="A90" s="707"/>
      <c r="B90" s="829"/>
      <c r="C90" s="781" t="s">
        <v>38</v>
      </c>
      <c r="D90" s="781"/>
      <c r="E90" s="709"/>
      <c r="F90" s="709"/>
      <c r="G90" s="709"/>
      <c r="H90" s="709"/>
      <c r="I90" s="710"/>
      <c r="J90" s="707"/>
      <c r="K90" s="782"/>
      <c r="L90" s="830"/>
      <c r="M90" s="728"/>
      <c r="N90" s="784">
        <f>IF(M89=0,0,'F สะพาน'!U14)</f>
        <v>0</v>
      </c>
      <c r="O90" s="854"/>
      <c r="P90" s="854"/>
      <c r="Q90" s="854"/>
    </row>
    <row r="91" spans="1:19" ht="21.75">
      <c r="A91" s="785"/>
      <c r="B91" s="855"/>
      <c r="C91" s="787" t="s">
        <v>39</v>
      </c>
      <c r="D91" s="787"/>
      <c r="E91" s="856"/>
      <c r="F91" s="856"/>
      <c r="G91" s="856"/>
      <c r="H91" s="856"/>
      <c r="I91" s="857"/>
      <c r="J91" s="785"/>
      <c r="K91" s="790"/>
      <c r="L91" s="858"/>
      <c r="M91" s="859"/>
      <c r="N91" s="860"/>
      <c r="O91" s="861"/>
      <c r="P91" s="859">
        <f>SUM(P11:P90)</f>
        <v>0</v>
      </c>
      <c r="Q91" s="859"/>
    </row>
    <row r="92" spans="1:19" ht="21.75">
      <c r="A92" s="795"/>
      <c r="B92" s="862"/>
      <c r="C92" s="796"/>
      <c r="D92" s="796"/>
      <c r="E92" s="796"/>
      <c r="F92" s="796"/>
      <c r="G92" s="796"/>
      <c r="H92" s="796"/>
      <c r="I92" s="796"/>
      <c r="J92" s="795"/>
      <c r="K92" s="798"/>
      <c r="L92" s="863"/>
      <c r="M92" s="864"/>
      <c r="N92" s="865"/>
      <c r="O92" s="801"/>
      <c r="P92" s="801"/>
      <c r="Q92" s="801"/>
    </row>
    <row r="93" spans="1:19" ht="21.75">
      <c r="A93" s="795"/>
      <c r="B93" s="862"/>
      <c r="C93" s="796"/>
      <c r="D93" s="796"/>
      <c r="E93" s="796"/>
      <c r="F93" s="796"/>
      <c r="G93" s="796"/>
      <c r="H93" s="796"/>
      <c r="I93" s="796"/>
      <c r="J93" s="795"/>
      <c r="K93" s="798"/>
      <c r="L93" s="863"/>
      <c r="M93" s="864"/>
      <c r="N93" s="865"/>
      <c r="O93" s="801"/>
      <c r="P93" s="801"/>
      <c r="Q93" s="801"/>
    </row>
    <row r="94" spans="1:19" ht="21.75">
      <c r="A94" s="801"/>
      <c r="B94" s="866"/>
      <c r="C94" s="801"/>
      <c r="D94" s="801">
        <f>ปร.4_1!C175</f>
        <v>0</v>
      </c>
      <c r="E94" s="1547">
        <f>ปร.4_1!D175</f>
        <v>0</v>
      </c>
      <c r="F94" s="1547"/>
      <c r="G94" s="1547"/>
      <c r="H94" s="801">
        <f>ปร.4_1!H175</f>
        <v>0</v>
      </c>
      <c r="I94" s="801"/>
      <c r="J94" s="801"/>
      <c r="L94" s="867">
        <f>ปร.4_1!L175</f>
        <v>0</v>
      </c>
      <c r="M94" s="1547">
        <f>ปร.4_1!M175</f>
        <v>0</v>
      </c>
      <c r="N94" s="1547"/>
      <c r="O94" s="1547"/>
      <c r="P94" s="866">
        <f>ปร.4_1!P175</f>
        <v>0</v>
      </c>
      <c r="Q94" s="866"/>
    </row>
    <row r="95" spans="1:19" ht="21.75">
      <c r="A95" s="801"/>
      <c r="B95" s="652"/>
      <c r="C95" s="652"/>
      <c r="D95" s="801"/>
      <c r="E95" s="1548">
        <f>ปร.4_1!D176</f>
        <v>0</v>
      </c>
      <c r="F95" s="1548"/>
      <c r="G95" s="1548"/>
      <c r="H95" s="652"/>
      <c r="I95" s="652"/>
      <c r="J95" s="801"/>
      <c r="L95" s="867"/>
      <c r="M95" s="1548">
        <f>ปร.4_1!M176</f>
        <v>0</v>
      </c>
      <c r="N95" s="1548"/>
      <c r="O95" s="1548"/>
      <c r="P95" s="652"/>
      <c r="Q95" s="652"/>
    </row>
    <row r="96" spans="1:19" ht="24.75" customHeight="1">
      <c r="A96" s="801"/>
      <c r="B96" s="653"/>
      <c r="C96" s="652"/>
      <c r="D96" s="801">
        <f>ปร.4_1!C177</f>
        <v>0</v>
      </c>
      <c r="E96" s="1548">
        <f>ปร.4_1!D177</f>
        <v>0</v>
      </c>
      <c r="F96" s="1548"/>
      <c r="G96" s="1548"/>
      <c r="H96" s="656"/>
      <c r="I96" s="656"/>
      <c r="J96" s="653"/>
      <c r="L96" s="867">
        <f>ปร.4_1!L177</f>
        <v>0</v>
      </c>
      <c r="M96" s="1548">
        <f>ปร.4_1!M177</f>
        <v>0</v>
      </c>
      <c r="N96" s="1548"/>
      <c r="O96" s="1548"/>
      <c r="P96" s="656"/>
      <c r="Q96" s="656"/>
    </row>
    <row r="97" spans="1:17" ht="24.75" customHeight="1">
      <c r="A97" s="795"/>
      <c r="B97" s="862"/>
      <c r="C97" s="796"/>
      <c r="D97" s="796"/>
      <c r="E97" s="796"/>
      <c r="F97" s="796"/>
      <c r="G97" s="796"/>
      <c r="H97" s="796"/>
      <c r="I97" s="796"/>
      <c r="J97" s="795"/>
      <c r="K97" s="798"/>
      <c r="L97" s="863"/>
      <c r="M97" s="864"/>
      <c r="N97" s="865"/>
      <c r="O97" s="801"/>
      <c r="P97" s="801"/>
      <c r="Q97" s="801"/>
    </row>
    <row r="98" spans="1:17" ht="24.75" customHeight="1">
      <c r="A98" s="801"/>
      <c r="B98" s="866"/>
      <c r="C98" s="801"/>
      <c r="D98" s="801"/>
      <c r="E98" s="801"/>
      <c r="F98" s="801"/>
      <c r="G98" s="801"/>
      <c r="H98" s="801"/>
      <c r="I98" s="801"/>
      <c r="J98" s="801"/>
      <c r="K98" s="801"/>
      <c r="L98" s="801"/>
      <c r="M98" s="801"/>
      <c r="N98" s="865"/>
      <c r="O98" s="801"/>
      <c r="P98" s="801"/>
      <c r="Q98" s="801"/>
    </row>
    <row r="99" spans="1:17" ht="24.75" customHeight="1">
      <c r="A99" s="801"/>
      <c r="B99" s="866"/>
      <c r="C99" s="801"/>
      <c r="D99" s="801"/>
      <c r="E99" s="801"/>
      <c r="F99" s="801"/>
      <c r="G99" s="801"/>
      <c r="H99" s="801"/>
      <c r="I99" s="801"/>
      <c r="J99" s="801"/>
      <c r="K99" s="801"/>
      <c r="L99" s="801"/>
      <c r="M99" s="801"/>
      <c r="N99" s="865"/>
      <c r="O99" s="801"/>
      <c r="P99" s="801"/>
      <c r="Q99" s="801"/>
    </row>
    <row r="100" spans="1:17" ht="24.75" customHeight="1">
      <c r="A100" s="801"/>
      <c r="B100" s="866"/>
      <c r="C100" s="801"/>
      <c r="D100" s="801"/>
      <c r="E100" s="801"/>
      <c r="F100" s="801"/>
      <c r="G100" s="801"/>
      <c r="H100" s="801"/>
      <c r="I100" s="801"/>
      <c r="J100" s="801"/>
      <c r="K100" s="801"/>
      <c r="L100" s="801"/>
      <c r="M100" s="801"/>
      <c r="N100" s="865"/>
      <c r="O100" s="801"/>
      <c r="P100" s="801"/>
      <c r="Q100" s="801"/>
    </row>
    <row r="101" spans="1:17" ht="24.75" customHeight="1">
      <c r="A101" s="801"/>
      <c r="B101" s="866"/>
      <c r="C101" s="801"/>
      <c r="D101" s="801"/>
      <c r="E101" s="801"/>
      <c r="F101" s="801"/>
      <c r="G101" s="801"/>
      <c r="H101" s="801"/>
      <c r="I101" s="801"/>
      <c r="J101" s="801"/>
      <c r="K101" s="801"/>
      <c r="L101" s="801"/>
      <c r="M101" s="801"/>
      <c r="N101" s="865"/>
      <c r="O101" s="801"/>
      <c r="P101" s="801"/>
      <c r="Q101" s="801"/>
    </row>
  </sheetData>
  <mergeCells count="17">
    <mergeCell ref="D63:E63"/>
    <mergeCell ref="A8:A9"/>
    <mergeCell ref="J8:J9"/>
    <mergeCell ref="K8:K9"/>
    <mergeCell ref="L8:M8"/>
    <mergeCell ref="N8:N9"/>
    <mergeCell ref="O8:P8"/>
    <mergeCell ref="C4:D4"/>
    <mergeCell ref="B8:I9"/>
    <mergeCell ref="A1:Q1"/>
    <mergeCell ref="Q8:Q9"/>
    <mergeCell ref="M94:O94"/>
    <mergeCell ref="M95:O95"/>
    <mergeCell ref="M96:O96"/>
    <mergeCell ref="E94:G94"/>
    <mergeCell ref="E95:G95"/>
    <mergeCell ref="E96:G96"/>
  </mergeCells>
  <dataValidations count="2">
    <dataValidation type="list" allowBlank="1" showInputMessage="1" showErrorMessage="1" sqref="S63">
      <formula1>Box_Cell</formula1>
    </dataValidation>
    <dataValidation type="list" allowBlank="1" showInputMessage="1" showErrorMessage="1" sqref="T63">
      <formula1>Box_size</formula1>
    </dataValidation>
  </dataValidations>
  <printOptions horizontalCentered="1"/>
  <pageMargins left="0.59055118110236227" right="0.19685039370078741" top="0.78740157480314965" bottom="0.19685039370078741" header="0" footer="0"/>
  <pageSetup paperSize="9" scale="65" orientation="portrait" blackAndWhite="1" r:id="rId1"/>
  <headerFooter>
    <oddHeader xml:space="preserve">&amp;R&amp;"Angsana New,ธรรมดา"&amp;12ปร.4/2 บร แผ่นที่ &amp;P / &amp;N  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Q35"/>
  <sheetViews>
    <sheetView view="pageBreakPreview" zoomScaleSheetLayoutView="100" workbookViewId="0">
      <selection activeCell="I20" sqref="I20"/>
    </sheetView>
  </sheetViews>
  <sheetFormatPr defaultColWidth="9.125" defaultRowHeight="17.25"/>
  <cols>
    <col min="1" max="2" width="5.75" style="868" customWidth="1"/>
    <col min="3" max="3" width="7.75" style="868" customWidth="1"/>
    <col min="4" max="4" width="15.75" style="868" customWidth="1"/>
    <col min="5" max="14" width="10.75" style="868" customWidth="1"/>
    <col min="15" max="16384" width="9.125" style="868"/>
  </cols>
  <sheetData>
    <row r="1" spans="1:17" ht="24">
      <c r="A1" s="1554" t="s">
        <v>433</v>
      </c>
      <c r="B1" s="1554"/>
      <c r="C1" s="1554"/>
      <c r="D1" s="1554"/>
      <c r="E1" s="1554"/>
      <c r="F1" s="1554"/>
      <c r="G1" s="1554"/>
      <c r="H1" s="1554"/>
      <c r="I1" s="1554"/>
      <c r="J1" s="1554"/>
      <c r="K1" s="1554"/>
      <c r="L1" s="1554"/>
      <c r="M1" s="1554"/>
      <c r="N1" s="1554"/>
    </row>
    <row r="2" spans="1:17" ht="21.75">
      <c r="A2" s="667" t="s">
        <v>14</v>
      </c>
      <c r="B2" s="667"/>
      <c r="C2" s="667" t="str">
        <f>ปร.4_1!C2</f>
        <v>ซ่อมแซมผิวทางแบบเซอร์เฟซทรีตเมนต์ชั้นเดียว S.S.T.  สายป่าตอ-ใสขรบ   หมู่ที่ 5</v>
      </c>
      <c r="D2" s="667"/>
      <c r="E2" s="667"/>
      <c r="F2" s="667"/>
      <c r="G2" s="667"/>
      <c r="H2" s="667"/>
      <c r="I2" s="667"/>
      <c r="J2" s="667"/>
      <c r="K2" s="667"/>
      <c r="L2" s="667"/>
      <c r="M2" s="667"/>
      <c r="N2" s="667"/>
    </row>
    <row r="3" spans="1:17" ht="21.75">
      <c r="A3" s="667" t="s">
        <v>1407</v>
      </c>
      <c r="B3" s="667"/>
      <c r="C3" s="667" t="str">
        <f>ปร.4_1!C3</f>
        <v>ตำบลควนขนุน อำเภอควนขนุน  จังหวัดพัทลุง</v>
      </c>
      <c r="D3" s="667"/>
      <c r="E3" s="667"/>
      <c r="F3" s="667"/>
      <c r="G3" s="667"/>
      <c r="H3" s="667"/>
      <c r="I3" s="667"/>
      <c r="J3" s="667"/>
      <c r="K3" s="667"/>
      <c r="L3" s="667"/>
      <c r="M3" s="667"/>
      <c r="N3" s="667"/>
    </row>
    <row r="4" spans="1:17" ht="21.75">
      <c r="A4" s="667" t="str">
        <f>ปร.4_1!A4</f>
        <v>ระยะทางดำเนินการ</v>
      </c>
      <c r="B4" s="667"/>
      <c r="E4" s="674">
        <f>'ปร.5 ท'!L12</f>
        <v>0.84</v>
      </c>
      <c r="F4" s="675" t="s">
        <v>181</v>
      </c>
      <c r="I4" s="667"/>
      <c r="J4" s="667"/>
      <c r="K4" s="667"/>
      <c r="L4" s="667"/>
      <c r="M4" s="667"/>
      <c r="N4" s="667"/>
    </row>
    <row r="5" spans="1:17" ht="21.75">
      <c r="A5" s="684" t="s">
        <v>1651</v>
      </c>
      <c r="B5" s="667"/>
      <c r="D5" s="869">
        <f>ปร.4_1!D5</f>
        <v>0</v>
      </c>
      <c r="E5" s="679" t="s">
        <v>16</v>
      </c>
      <c r="F5" s="870">
        <f>ปร.4_2!G5</f>
        <v>5</v>
      </c>
      <c r="G5" s="667" t="s">
        <v>17</v>
      </c>
      <c r="K5" s="667"/>
      <c r="L5" s="667"/>
      <c r="M5" s="667"/>
      <c r="N5" s="667"/>
    </row>
    <row r="6" spans="1:17" ht="21.75">
      <c r="A6" s="684" t="s">
        <v>1649</v>
      </c>
      <c r="B6" s="667"/>
      <c r="D6" s="869">
        <f>ปร.4_1!D6</f>
        <v>0</v>
      </c>
      <c r="E6" s="679" t="s">
        <v>18</v>
      </c>
      <c r="F6" s="870">
        <f>ปร.4_2!G6</f>
        <v>0</v>
      </c>
      <c r="G6" s="667" t="s">
        <v>17</v>
      </c>
      <c r="K6" s="667"/>
      <c r="L6" s="667"/>
      <c r="M6" s="667"/>
      <c r="N6" s="667"/>
    </row>
    <row r="7" spans="1:17" ht="21.75">
      <c r="A7" s="684" t="s">
        <v>19</v>
      </c>
      <c r="B7" s="667"/>
      <c r="C7" s="685"/>
      <c r="D7" s="675" t="str">
        <f>ปร.4_2!D7</f>
        <v>30  มิถุนายน  พ.ศ. 2563</v>
      </c>
      <c r="E7" s="675"/>
      <c r="F7" s="675"/>
      <c r="G7" s="675"/>
      <c r="H7" s="667"/>
      <c r="I7" s="687"/>
      <c r="J7" s="667"/>
      <c r="K7" s="667"/>
      <c r="L7" s="667"/>
      <c r="M7" s="667"/>
      <c r="N7" s="667"/>
    </row>
    <row r="8" spans="1:17" ht="21.75">
      <c r="A8" s="1540" t="s">
        <v>20</v>
      </c>
      <c r="B8" s="1532" t="s">
        <v>1</v>
      </c>
      <c r="C8" s="1533"/>
      <c r="D8" s="1533"/>
      <c r="E8" s="871"/>
      <c r="F8" s="871"/>
      <c r="G8" s="871"/>
      <c r="H8" s="1555" t="s">
        <v>2</v>
      </c>
      <c r="I8" s="1544" t="s">
        <v>21</v>
      </c>
      <c r="J8" s="1546" t="s">
        <v>22</v>
      </c>
      <c r="K8" s="1544"/>
      <c r="L8" s="1562" t="s">
        <v>23</v>
      </c>
      <c r="M8" s="1531" t="s">
        <v>24</v>
      </c>
      <c r="N8" s="1531"/>
      <c r="O8" s="1560" t="s">
        <v>3</v>
      </c>
    </row>
    <row r="9" spans="1:17" ht="21.75">
      <c r="A9" s="1541"/>
      <c r="B9" s="1536"/>
      <c r="C9" s="1537"/>
      <c r="D9" s="1537"/>
      <c r="E9" s="872"/>
      <c r="F9" s="872"/>
      <c r="G9" s="872"/>
      <c r="H9" s="1555"/>
      <c r="I9" s="1545"/>
      <c r="J9" s="873" t="s">
        <v>25</v>
      </c>
      <c r="K9" s="694" t="s">
        <v>26</v>
      </c>
      <c r="L9" s="1563"/>
      <c r="M9" s="694" t="s">
        <v>25</v>
      </c>
      <c r="N9" s="694" t="s">
        <v>26</v>
      </c>
      <c r="O9" s="1561"/>
    </row>
    <row r="10" spans="1:17" ht="21.75">
      <c r="A10" s="707"/>
      <c r="B10" s="874" t="s">
        <v>436</v>
      </c>
      <c r="C10" s="875"/>
      <c r="D10" s="876"/>
      <c r="E10" s="876"/>
      <c r="F10" s="876"/>
      <c r="G10" s="877"/>
      <c r="H10" s="707"/>
      <c r="I10" s="830"/>
      <c r="J10" s="822"/>
      <c r="K10" s="822"/>
      <c r="L10" s="823"/>
      <c r="M10" s="712"/>
      <c r="N10" s="712"/>
      <c r="O10" s="878"/>
    </row>
    <row r="11" spans="1:17" ht="21.75">
      <c r="A11" s="707">
        <v>1</v>
      </c>
      <c r="B11" s="708" t="s">
        <v>437</v>
      </c>
      <c r="C11" s="728"/>
      <c r="D11" s="615"/>
      <c r="E11" s="615"/>
      <c r="F11" s="615"/>
      <c r="G11" s="768"/>
      <c r="H11" s="707"/>
      <c r="I11" s="830"/>
      <c r="J11" s="822"/>
      <c r="K11" s="822"/>
      <c r="L11" s="823"/>
      <c r="M11" s="712"/>
      <c r="N11" s="712"/>
      <c r="O11" s="879"/>
    </row>
    <row r="12" spans="1:17" ht="21.75">
      <c r="A12" s="707"/>
      <c r="B12" s="708">
        <v>1.1000000000000001</v>
      </c>
      <c r="C12" s="767" t="s">
        <v>438</v>
      </c>
      <c r="D12" s="709"/>
      <c r="E12" s="709"/>
      <c r="F12" s="709"/>
      <c r="G12" s="710"/>
      <c r="H12" s="707" t="s">
        <v>420</v>
      </c>
      <c r="I12" s="718">
        <f>4-4</f>
        <v>0</v>
      </c>
      <c r="J12" s="718">
        <f>IF(I12=0,0,5900)</f>
        <v>0</v>
      </c>
      <c r="K12" s="718">
        <f>J12*I12</f>
        <v>0</v>
      </c>
      <c r="L12" s="880">
        <f>IF(I12=0,0,$L$23)</f>
        <v>0</v>
      </c>
      <c r="M12" s="718">
        <f>ROUND(J12*L12,2)</f>
        <v>0</v>
      </c>
      <c r="N12" s="718">
        <f>K12*L12</f>
        <v>0</v>
      </c>
      <c r="O12" s="879"/>
      <c r="P12" s="574"/>
      <c r="Q12" s="574"/>
    </row>
    <row r="13" spans="1:17" ht="21.75">
      <c r="A13" s="707"/>
      <c r="B13" s="708">
        <v>1.2</v>
      </c>
      <c r="C13" s="759" t="s">
        <v>439</v>
      </c>
      <c r="D13" s="709"/>
      <c r="E13" s="709"/>
      <c r="F13" s="709"/>
      <c r="G13" s="710"/>
      <c r="H13" s="707" t="s">
        <v>440</v>
      </c>
      <c r="I13" s="718">
        <f>1-1</f>
        <v>0</v>
      </c>
      <c r="J13" s="718">
        <f>IF(I13=0,0,47000)</f>
        <v>0</v>
      </c>
      <c r="K13" s="718">
        <f>J13*I13</f>
        <v>0</v>
      </c>
      <c r="L13" s="880">
        <f t="shared" ref="L13:L18" si="0">IF(I13=0,0,$L$23)</f>
        <v>0</v>
      </c>
      <c r="M13" s="718">
        <f t="shared" ref="M13:M18" si="1">ROUND(J13*L13,2)</f>
        <v>0</v>
      </c>
      <c r="N13" s="718">
        <f>K13*L13</f>
        <v>0</v>
      </c>
      <c r="O13" s="879"/>
    </row>
    <row r="14" spans="1:17" ht="21.75">
      <c r="A14" s="707">
        <v>2</v>
      </c>
      <c r="B14" s="708" t="s">
        <v>441</v>
      </c>
      <c r="C14" s="742"/>
      <c r="D14" s="709"/>
      <c r="E14" s="709"/>
      <c r="F14" s="709"/>
      <c r="G14" s="710"/>
      <c r="H14" s="707" t="s">
        <v>420</v>
      </c>
      <c r="I14" s="718">
        <v>0</v>
      </c>
      <c r="J14" s="718">
        <f>IF(I14=0,0,14000)</f>
        <v>0</v>
      </c>
      <c r="K14" s="718">
        <f>J14*I14</f>
        <v>0</v>
      </c>
      <c r="L14" s="880">
        <f t="shared" si="0"/>
        <v>0</v>
      </c>
      <c r="M14" s="718">
        <f t="shared" si="1"/>
        <v>0</v>
      </c>
      <c r="N14" s="718">
        <f>K14*L14</f>
        <v>0</v>
      </c>
      <c r="O14" s="879"/>
    </row>
    <row r="15" spans="1:17" ht="21.75">
      <c r="A15" s="707">
        <v>3</v>
      </c>
      <c r="B15" s="829" t="s">
        <v>442</v>
      </c>
      <c r="C15" s="709"/>
      <c r="D15" s="709"/>
      <c r="E15" s="709"/>
      <c r="F15" s="709"/>
      <c r="G15" s="710"/>
      <c r="H15" s="707" t="s">
        <v>420</v>
      </c>
      <c r="I15" s="718">
        <f>I12</f>
        <v>0</v>
      </c>
      <c r="J15" s="718">
        <f>IF(I15=0,0,1900)</f>
        <v>0</v>
      </c>
      <c r="K15" s="718">
        <f>J15*I15</f>
        <v>0</v>
      </c>
      <c r="L15" s="880">
        <f t="shared" si="0"/>
        <v>0</v>
      </c>
      <c r="M15" s="718">
        <f t="shared" si="1"/>
        <v>0</v>
      </c>
      <c r="N15" s="718">
        <f>K15*L15</f>
        <v>0</v>
      </c>
      <c r="O15" s="879"/>
    </row>
    <row r="16" spans="1:17" ht="21.75">
      <c r="A16" s="707">
        <v>4</v>
      </c>
      <c r="B16" s="829" t="s">
        <v>443</v>
      </c>
      <c r="C16" s="709"/>
      <c r="D16" s="709"/>
      <c r="E16" s="709"/>
      <c r="F16" s="709"/>
      <c r="G16" s="710"/>
      <c r="H16" s="707" t="s">
        <v>444</v>
      </c>
      <c r="I16" s="832"/>
      <c r="J16" s="712"/>
      <c r="K16" s="712"/>
      <c r="L16" s="880"/>
      <c r="M16" s="737"/>
      <c r="N16" s="712"/>
      <c r="O16" s="879"/>
    </row>
    <row r="17" spans="1:15" ht="21.75">
      <c r="A17" s="707">
        <v>5</v>
      </c>
      <c r="B17" s="829" t="s">
        <v>445</v>
      </c>
      <c r="C17" s="730"/>
      <c r="D17" s="709"/>
      <c r="E17" s="709"/>
      <c r="F17" s="709"/>
      <c r="G17" s="710"/>
      <c r="H17" s="707" t="s">
        <v>444</v>
      </c>
      <c r="I17" s="718">
        <f>1-1</f>
        <v>0</v>
      </c>
      <c r="J17" s="718">
        <f>IF(I17=0,0,44000)</f>
        <v>0</v>
      </c>
      <c r="K17" s="718">
        <f>J17*I17</f>
        <v>0</v>
      </c>
      <c r="L17" s="880">
        <f t="shared" si="0"/>
        <v>0</v>
      </c>
      <c r="M17" s="718">
        <f t="shared" si="1"/>
        <v>0</v>
      </c>
      <c r="N17" s="718">
        <f>K17*L17</f>
        <v>0</v>
      </c>
      <c r="O17" s="879"/>
    </row>
    <row r="18" spans="1:15" ht="21.75">
      <c r="A18" s="707">
        <v>6</v>
      </c>
      <c r="B18" s="829" t="s">
        <v>907</v>
      </c>
      <c r="C18" s="709"/>
      <c r="D18" s="709"/>
      <c r="E18" s="709"/>
      <c r="F18" s="709"/>
      <c r="G18" s="710"/>
      <c r="H18" s="707" t="s">
        <v>444</v>
      </c>
      <c r="I18" s="718">
        <f>1-1</f>
        <v>0</v>
      </c>
      <c r="J18" s="718">
        <f>IF(I18=0,0,29000)</f>
        <v>0</v>
      </c>
      <c r="K18" s="718">
        <f>J18*I18</f>
        <v>0</v>
      </c>
      <c r="L18" s="880">
        <f t="shared" si="0"/>
        <v>0</v>
      </c>
      <c r="M18" s="718">
        <f t="shared" si="1"/>
        <v>0</v>
      </c>
      <c r="N18" s="718">
        <f>K18*L18</f>
        <v>0</v>
      </c>
      <c r="O18" s="879"/>
    </row>
    <row r="19" spans="1:15" ht="21.75">
      <c r="A19" s="707">
        <v>7</v>
      </c>
      <c r="B19" s="829" t="s">
        <v>1433</v>
      </c>
      <c r="C19" s="709"/>
      <c r="D19" s="709"/>
      <c r="E19" s="709"/>
      <c r="F19" s="709"/>
      <c r="G19" s="710"/>
      <c r="H19" s="707" t="s">
        <v>640</v>
      </c>
      <c r="I19" s="718">
        <v>0</v>
      </c>
      <c r="J19" s="718">
        <f>IF(I19=0,0,งานป้ายจราจรระหว่างการก่อสร!K28)</f>
        <v>0</v>
      </c>
      <c r="K19" s="718">
        <f>J19*I19</f>
        <v>0</v>
      </c>
      <c r="L19" s="880">
        <f>IF(I19=0,0,$L$23)</f>
        <v>0</v>
      </c>
      <c r="M19" s="718">
        <f>ROUND(J19*L19,2)</f>
        <v>0</v>
      </c>
      <c r="N19" s="718">
        <f>K19*L19</f>
        <v>0</v>
      </c>
      <c r="O19" s="879"/>
    </row>
    <row r="20" spans="1:15" ht="21.75">
      <c r="A20" s="707"/>
      <c r="B20" s="829"/>
      <c r="C20" s="709"/>
      <c r="D20" s="709"/>
      <c r="E20" s="709"/>
      <c r="F20" s="709"/>
      <c r="G20" s="710"/>
      <c r="H20" s="707"/>
      <c r="I20" s="830"/>
      <c r="J20" s="822"/>
      <c r="K20" s="822"/>
      <c r="L20" s="881"/>
      <c r="M20" s="712"/>
      <c r="N20" s="712"/>
      <c r="O20" s="879"/>
    </row>
    <row r="21" spans="1:15" ht="21.75">
      <c r="A21" s="707"/>
      <c r="B21" s="829"/>
      <c r="C21" s="709"/>
      <c r="D21" s="709"/>
      <c r="E21" s="709"/>
      <c r="F21" s="709"/>
      <c r="G21" s="710"/>
      <c r="H21" s="707"/>
      <c r="I21" s="830"/>
      <c r="J21" s="822"/>
      <c r="K21" s="822"/>
      <c r="L21" s="881"/>
      <c r="M21" s="712"/>
      <c r="N21" s="712"/>
      <c r="O21" s="879"/>
    </row>
    <row r="22" spans="1:15" ht="21.75">
      <c r="A22" s="771"/>
      <c r="B22" s="874"/>
      <c r="C22" s="773" t="s">
        <v>1331</v>
      </c>
      <c r="D22" s="774"/>
      <c r="E22" s="774"/>
      <c r="F22" s="774"/>
      <c r="G22" s="775"/>
      <c r="H22" s="771"/>
      <c r="I22" s="882"/>
      <c r="J22" s="882"/>
      <c r="K22" s="850">
        <f>SUM(K12:K20)</f>
        <v>0</v>
      </c>
      <c r="L22" s="771"/>
      <c r="M22" s="780"/>
      <c r="N22" s="883"/>
      <c r="O22" s="878"/>
    </row>
    <row r="23" spans="1:15" ht="21.75">
      <c r="A23" s="707"/>
      <c r="B23" s="820"/>
      <c r="C23" s="781" t="s">
        <v>38</v>
      </c>
      <c r="D23" s="709"/>
      <c r="E23" s="709"/>
      <c r="F23" s="709"/>
      <c r="G23" s="710"/>
      <c r="H23" s="707"/>
      <c r="I23" s="822"/>
      <c r="J23" s="822"/>
      <c r="K23" s="718"/>
      <c r="L23" s="784">
        <f>IF(K22=0,0,1)</f>
        <v>0</v>
      </c>
      <c r="M23" s="714"/>
      <c r="N23" s="711"/>
      <c r="O23" s="879"/>
    </row>
    <row r="24" spans="1:15" ht="21.75">
      <c r="A24" s="785"/>
      <c r="B24" s="884"/>
      <c r="C24" s="787" t="s">
        <v>39</v>
      </c>
      <c r="D24" s="856"/>
      <c r="E24" s="856"/>
      <c r="F24" s="856"/>
      <c r="G24" s="857"/>
      <c r="H24" s="785"/>
      <c r="I24" s="885"/>
      <c r="J24" s="885"/>
      <c r="K24" s="886"/>
      <c r="L24" s="794"/>
      <c r="M24" s="794"/>
      <c r="N24" s="859">
        <f>SUM(N11:N20)</f>
        <v>0</v>
      </c>
      <c r="O24" s="887"/>
    </row>
    <row r="25" spans="1:15" ht="21.75">
      <c r="A25" s="888"/>
      <c r="B25" s="821"/>
      <c r="C25" s="781"/>
      <c r="D25" s="709"/>
      <c r="E25" s="709"/>
      <c r="F25" s="709"/>
      <c r="G25" s="709"/>
      <c r="H25" s="888"/>
      <c r="I25" s="889"/>
      <c r="J25" s="889"/>
      <c r="K25" s="890"/>
      <c r="L25" s="709"/>
      <c r="M25" s="709"/>
      <c r="N25" s="891"/>
      <c r="O25" s="892"/>
    </row>
    <row r="26" spans="1:15" ht="21.75">
      <c r="A26" s="888"/>
      <c r="B26" s="821"/>
      <c r="C26" s="781"/>
      <c r="D26" s="709"/>
      <c r="E26" s="709"/>
      <c r="F26" s="709"/>
      <c r="G26" s="709"/>
      <c r="H26" s="888"/>
      <c r="I26" s="889"/>
      <c r="J26" s="889"/>
      <c r="K26" s="890"/>
      <c r="L26" s="709"/>
      <c r="M26" s="709"/>
      <c r="N26" s="891"/>
      <c r="O26" s="892"/>
    </row>
    <row r="27" spans="1:15" ht="21.75" hidden="1">
      <c r="A27" s="893" t="s">
        <v>1828</v>
      </c>
      <c r="B27" s="574"/>
      <c r="C27" s="781"/>
      <c r="D27" s="709"/>
      <c r="E27" s="709"/>
      <c r="F27" s="709"/>
      <c r="G27" s="709"/>
      <c r="H27" s="888"/>
      <c r="I27" s="889"/>
      <c r="J27" s="889"/>
      <c r="K27" s="890"/>
      <c r="L27" s="709"/>
      <c r="M27" s="709"/>
      <c r="N27" s="891"/>
      <c r="O27" s="892"/>
    </row>
    <row r="28" spans="1:15" ht="21.75" hidden="1">
      <c r="A28" s="574"/>
      <c r="B28" s="893" t="str">
        <f>"ค่าป้ายจราจรระหว่างการก่อสร้าง ตามแบบกำหนดราคาไว้ "&amp;FIXED(งานป้ายจราจรระหว่างการก่อสร!K25,2)&amp;" บาท/เดือน"</f>
        <v>ค่าป้ายจราจรระหว่างการก่อสร้าง ตามแบบกำหนดราคาไว้ 3,080.00 บาท/เดือน</v>
      </c>
      <c r="C28" s="781"/>
      <c r="D28" s="709"/>
      <c r="E28" s="709"/>
      <c r="F28" s="709"/>
      <c r="G28" s="709"/>
      <c r="H28" s="888"/>
      <c r="I28" s="889"/>
      <c r="J28" s="889"/>
      <c r="K28" s="890"/>
      <c r="L28" s="709"/>
      <c r="M28" s="709"/>
      <c r="N28" s="891"/>
      <c r="O28" s="892"/>
    </row>
    <row r="29" spans="1:15" ht="21.75" hidden="1">
      <c r="A29" s="574"/>
      <c r="B29" s="893" t="str">
        <f>"ระยะเวลาก่อสร้าง "&amp;งานป้ายจราจรระหว่างการก่อสร!K27&amp;" เดือน คิดเป็นเงิน "&amp;FIXED(งานป้ายจราจรระหว่างการก่อสร!K25*งานป้ายจราจรระหว่างการก่อสร!K27,2)&amp;" บาท แต่เนื่องจากงบประมาณจำกัด จึงคิดให้เพียง "&amp;FIXED(N19,2)&amp;" บาท"</f>
        <v>ระยะเวลาก่อสร้าง 3 เดือน คิดเป็นเงิน 9,240.00 บาท แต่เนื่องจากงบประมาณจำกัด จึงคิดให้เพียง 0.00 บาท</v>
      </c>
      <c r="C29" s="781"/>
      <c r="D29" s="709"/>
      <c r="E29" s="709"/>
      <c r="F29" s="709"/>
      <c r="G29" s="709"/>
      <c r="H29" s="888"/>
      <c r="I29" s="889"/>
      <c r="J29" s="889"/>
      <c r="K29" s="890"/>
      <c r="L29" s="709"/>
      <c r="M29" s="709"/>
      <c r="N29" s="891"/>
      <c r="O29" s="892"/>
    </row>
    <row r="30" spans="1:15" ht="21.75">
      <c r="A30" s="574"/>
      <c r="B30" s="574"/>
      <c r="C30" s="574"/>
      <c r="D30" s="574"/>
      <c r="E30" s="574"/>
      <c r="F30" s="574"/>
      <c r="G30" s="574"/>
      <c r="H30" s="574"/>
      <c r="I30" s="574"/>
      <c r="J30" s="574"/>
      <c r="K30" s="574"/>
      <c r="L30" s="574"/>
      <c r="M30" s="574"/>
      <c r="N30" s="574"/>
    </row>
    <row r="31" spans="1:15" ht="21.75">
      <c r="A31" s="574"/>
      <c r="B31" s="574"/>
      <c r="C31" s="574"/>
      <c r="D31" s="574"/>
      <c r="E31" s="574"/>
      <c r="F31" s="574"/>
      <c r="G31" s="574"/>
      <c r="H31" s="574"/>
      <c r="I31" s="574"/>
      <c r="J31" s="574"/>
      <c r="K31" s="574"/>
      <c r="L31" s="574"/>
      <c r="M31" s="574"/>
      <c r="N31" s="574"/>
    </row>
    <row r="32" spans="1:15" ht="21.75">
      <c r="A32" s="667"/>
      <c r="B32" s="574"/>
      <c r="D32" s="595" t="s">
        <v>1338</v>
      </c>
      <c r="E32" s="1530" t="s">
        <v>1408</v>
      </c>
      <c r="F32" s="1530"/>
      <c r="G32" s="1530"/>
      <c r="H32" s="667">
        <f>'ปร.5 ท'!J32</f>
        <v>0</v>
      </c>
      <c r="J32" s="595" t="s">
        <v>1338</v>
      </c>
      <c r="K32" s="1530" t="s">
        <v>1408</v>
      </c>
      <c r="L32" s="1530"/>
      <c r="M32" s="1530"/>
      <c r="N32" s="667" t="e">
        <f>'ปร.5 ท'!#REF!</f>
        <v>#REF!</v>
      </c>
    </row>
    <row r="33" spans="1:14" ht="21.75">
      <c r="A33" s="667"/>
      <c r="B33" s="574"/>
      <c r="D33" s="574"/>
      <c r="E33" s="1530">
        <f>'ปร.5 ท'!G33</f>
        <v>0</v>
      </c>
      <c r="F33" s="1530"/>
      <c r="G33" s="1530"/>
      <c r="H33" s="667"/>
      <c r="J33" s="574"/>
      <c r="K33" s="1530">
        <f>ปร.4_1!M176</f>
        <v>0</v>
      </c>
      <c r="L33" s="1530"/>
      <c r="M33" s="1530"/>
      <c r="N33" s="667"/>
    </row>
    <row r="34" spans="1:14" ht="21.75">
      <c r="A34" s="574"/>
      <c r="B34" s="576"/>
      <c r="D34" s="604" t="s">
        <v>41</v>
      </c>
      <c r="E34" s="1530">
        <f>'ปร.5 ท'!G34</f>
        <v>0</v>
      </c>
      <c r="F34" s="1530"/>
      <c r="G34" s="1530"/>
      <c r="H34" s="574"/>
      <c r="J34" s="604" t="s">
        <v>41</v>
      </c>
      <c r="K34" s="1530">
        <f>ปร.4_1!M177</f>
        <v>0</v>
      </c>
      <c r="L34" s="1530"/>
      <c r="M34" s="1530"/>
      <c r="N34" s="574"/>
    </row>
    <row r="35" spans="1:14" ht="21.75">
      <c r="A35" s="574"/>
      <c r="B35" s="604"/>
      <c r="C35" s="576"/>
      <c r="D35" s="894"/>
      <c r="E35" s="894"/>
      <c r="F35" s="894"/>
      <c r="G35" s="894"/>
      <c r="H35" s="586"/>
      <c r="I35" s="586"/>
      <c r="J35" s="668"/>
      <c r="K35" s="668"/>
      <c r="L35" s="669"/>
      <c r="M35" s="574"/>
      <c r="N35" s="574"/>
    </row>
  </sheetData>
  <mergeCells count="15">
    <mergeCell ref="E33:G33"/>
    <mergeCell ref="E34:G34"/>
    <mergeCell ref="K32:M32"/>
    <mergeCell ref="K34:M34"/>
    <mergeCell ref="K33:M33"/>
    <mergeCell ref="E32:G32"/>
    <mergeCell ref="O8:O9"/>
    <mergeCell ref="A1:N1"/>
    <mergeCell ref="A8:A9"/>
    <mergeCell ref="B8:D9"/>
    <mergeCell ref="H8:H9"/>
    <mergeCell ref="I8:I9"/>
    <mergeCell ref="J8:K8"/>
    <mergeCell ref="L8:L9"/>
    <mergeCell ref="M8:N8"/>
  </mergeCells>
  <printOptions horizontalCentered="1"/>
  <pageMargins left="0.59055118110236227" right="0.19685039370078741" top="0.98425196850393704" bottom="0.19685039370078741" header="0" footer="0"/>
  <pageSetup paperSize="9" scale="58" orientation="portrait" horizontalDpi="4294967292" r:id="rId1"/>
  <headerFooter>
    <oddHeader xml:space="preserve">&amp;R&amp;"Angsana New,ธรรมดา"&amp;12ปร.4/1ท แผ่นที่ &amp;P / &amp;N 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21"/>
  </sheetPr>
  <dimension ref="A1:Y594"/>
  <sheetViews>
    <sheetView showGridLines="0" topLeftCell="A16" zoomScaleSheetLayoutView="25" workbookViewId="0">
      <selection activeCell="O31" sqref="O31"/>
    </sheetView>
  </sheetViews>
  <sheetFormatPr defaultColWidth="9" defaultRowHeight="23.25"/>
  <cols>
    <col min="1" max="1" width="17.875" style="196" customWidth="1"/>
    <col min="2" max="4" width="7.625" style="196" customWidth="1"/>
    <col min="5" max="5" width="7.75" style="196" customWidth="1"/>
    <col min="6" max="6" width="8.75" style="196" customWidth="1"/>
    <col min="7" max="7" width="7.625" style="196" customWidth="1"/>
    <col min="8" max="8" width="8.375" style="196" customWidth="1"/>
    <col min="9" max="9" width="9.25" style="196" customWidth="1"/>
    <col min="10" max="10" width="10.25" style="196" customWidth="1"/>
    <col min="11" max="11" width="9.625" style="196" customWidth="1"/>
    <col min="12" max="12" width="10.375" style="196" customWidth="1"/>
    <col min="13" max="13" width="10.25" style="196" customWidth="1"/>
    <col min="14" max="14" width="18.75" style="196" customWidth="1"/>
    <col min="15" max="15" width="9" style="196"/>
    <col min="16" max="16" width="15.625" style="196" hidden="1" customWidth="1"/>
    <col min="17" max="21" width="9.875" style="196" hidden="1" customWidth="1"/>
    <col min="22" max="22" width="9.875" style="196" customWidth="1"/>
    <col min="23" max="23" width="10" style="196" customWidth="1"/>
    <col min="24" max="16384" width="9" style="196"/>
  </cols>
  <sheetData>
    <row r="1" spans="1:25" s="191" customFormat="1">
      <c r="B1" s="191" t="s">
        <v>1284</v>
      </c>
      <c r="D1" s="191">
        <v>1</v>
      </c>
      <c r="E1" s="192" t="s">
        <v>1285</v>
      </c>
      <c r="F1" s="193">
        <v>1</v>
      </c>
    </row>
    <row r="2" spans="1:25" s="191" customFormat="1">
      <c r="B2" s="191" t="s">
        <v>1385</v>
      </c>
      <c r="F2" s="194">
        <f>Soil!I3</f>
        <v>0.2</v>
      </c>
    </row>
    <row r="3" spans="1:25" s="191" customFormat="1">
      <c r="B3" s="191" t="s">
        <v>1386</v>
      </c>
      <c r="F3" s="194">
        <f>Soil!I4</f>
        <v>0.15</v>
      </c>
    </row>
    <row r="4" spans="1:25" ht="24" thickBot="1">
      <c r="A4" s="195">
        <f>'ปร.5 ท'!C5</f>
        <v>0</v>
      </c>
      <c r="B4" s="195"/>
      <c r="C4" s="195"/>
      <c r="D4" s="195"/>
      <c r="E4" s="195"/>
      <c r="F4" s="195"/>
      <c r="G4" s="195"/>
      <c r="H4" s="195" t="str">
        <f>'ปร.5 ท'!C6</f>
        <v>ตำบลควนขนุน อำเภอควนขนุน  จังหวัดพัทลุง</v>
      </c>
      <c r="I4" s="195"/>
      <c r="J4" s="195"/>
      <c r="K4" s="195"/>
      <c r="L4" s="195"/>
      <c r="M4" s="195"/>
    </row>
    <row r="5" spans="1:25" s="200" customFormat="1">
      <c r="A5" s="197" t="s">
        <v>1387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9"/>
      <c r="W5" s="1569" t="s">
        <v>1388</v>
      </c>
      <c r="X5" s="1575" t="s">
        <v>1389</v>
      </c>
      <c r="Y5" s="1575" t="s">
        <v>1390</v>
      </c>
    </row>
    <row r="6" spans="1:25" s="200" customFormat="1">
      <c r="A6" s="1578" t="s">
        <v>1291</v>
      </c>
      <c r="B6" s="1581" t="s">
        <v>16</v>
      </c>
      <c r="C6" s="1581" t="s">
        <v>1199</v>
      </c>
      <c r="D6" s="1581" t="s">
        <v>1391</v>
      </c>
      <c r="E6" s="1567" t="s">
        <v>1401</v>
      </c>
      <c r="F6" s="1568"/>
      <c r="G6" s="1567" t="s">
        <v>1392</v>
      </c>
      <c r="H6" s="1568"/>
      <c r="I6" s="1567" t="s">
        <v>1393</v>
      </c>
      <c r="J6" s="1568"/>
      <c r="K6" s="1571" t="s">
        <v>1394</v>
      </c>
      <c r="L6" s="1571" t="s">
        <v>1395</v>
      </c>
      <c r="M6" s="1571" t="s">
        <v>1301</v>
      </c>
      <c r="N6" s="1571" t="s">
        <v>1396</v>
      </c>
      <c r="O6" s="1573" t="s">
        <v>1397</v>
      </c>
      <c r="W6" s="1569"/>
      <c r="X6" s="1576"/>
      <c r="Y6" s="1576"/>
    </row>
    <row r="7" spans="1:25" s="203" customFormat="1" ht="46.5">
      <c r="A7" s="1579"/>
      <c r="B7" s="1582"/>
      <c r="C7" s="1582"/>
      <c r="D7" s="1582"/>
      <c r="E7" s="201" t="s">
        <v>1194</v>
      </c>
      <c r="F7" s="201" t="s">
        <v>1149</v>
      </c>
      <c r="G7" s="202" t="s">
        <v>1284</v>
      </c>
      <c r="H7" s="202" t="s">
        <v>1398</v>
      </c>
      <c r="I7" s="202" t="s">
        <v>1284</v>
      </c>
      <c r="J7" s="202" t="s">
        <v>1398</v>
      </c>
      <c r="K7" s="1572"/>
      <c r="L7" s="1572"/>
      <c r="M7" s="1572"/>
      <c r="N7" s="1572"/>
      <c r="O7" s="1574"/>
      <c r="P7" s="1570" t="s">
        <v>1404</v>
      </c>
      <c r="Q7" s="1569" t="s">
        <v>1403</v>
      </c>
      <c r="R7" s="1569"/>
      <c r="S7" s="1569"/>
      <c r="T7" s="1569"/>
      <c r="U7" s="1569"/>
      <c r="W7" s="1569"/>
      <c r="X7" s="1576"/>
      <c r="Y7" s="1576"/>
    </row>
    <row r="8" spans="1:25" s="203" customFormat="1" ht="24" thickBot="1">
      <c r="A8" s="1580"/>
      <c r="B8" s="204" t="s">
        <v>744</v>
      </c>
      <c r="C8" s="204" t="s">
        <v>744</v>
      </c>
      <c r="D8" s="204" t="s">
        <v>744</v>
      </c>
      <c r="E8" s="204" t="s">
        <v>744</v>
      </c>
      <c r="F8" s="204" t="s">
        <v>744</v>
      </c>
      <c r="G8" s="205" t="s">
        <v>1399</v>
      </c>
      <c r="H8" s="204" t="s">
        <v>7</v>
      </c>
      <c r="I8" s="205" t="s">
        <v>1399</v>
      </c>
      <c r="J8" s="204" t="s">
        <v>7</v>
      </c>
      <c r="K8" s="204" t="s">
        <v>7</v>
      </c>
      <c r="L8" s="206" t="s">
        <v>6</v>
      </c>
      <c r="M8" s="206" t="s">
        <v>6</v>
      </c>
      <c r="N8" s="206" t="s">
        <v>7</v>
      </c>
      <c r="O8" s="207" t="s">
        <v>7</v>
      </c>
      <c r="P8" s="1570"/>
      <c r="Q8" s="208" t="s">
        <v>1083</v>
      </c>
      <c r="R8" s="208" t="s">
        <v>1085</v>
      </c>
      <c r="S8" s="208" t="s">
        <v>1086</v>
      </c>
      <c r="T8" s="208" t="s">
        <v>1087</v>
      </c>
      <c r="U8" s="208" t="s">
        <v>1088</v>
      </c>
      <c r="W8" s="1569"/>
      <c r="X8" s="1577"/>
      <c r="Y8" s="1577"/>
    </row>
    <row r="9" spans="1:25" s="203" customFormat="1">
      <c r="A9" s="209">
        <v>0</v>
      </c>
      <c r="B9" s="210">
        <v>0</v>
      </c>
      <c r="C9" s="210">
        <v>0</v>
      </c>
      <c r="D9" s="210">
        <v>0</v>
      </c>
      <c r="E9" s="211" t="s">
        <v>10</v>
      </c>
      <c r="F9" s="212">
        <v>0</v>
      </c>
      <c r="G9" s="213">
        <f>B9+F$3*2+F$2</f>
        <v>0.5</v>
      </c>
      <c r="H9" s="213">
        <f>G9*C9</f>
        <v>0</v>
      </c>
      <c r="I9" s="213">
        <f>B9+F$3</f>
        <v>0.15</v>
      </c>
      <c r="J9" s="213">
        <f>I9*C9</f>
        <v>0</v>
      </c>
      <c r="K9" s="214">
        <f t="shared" ref="K9:K18" si="0">IF(D9=0,0,IF(D9=2,Y$9,IF(D9=3,Y$10,IF(D9=4,Y$11,IF(D9=5,Y$12,IF(D9=6,Y$13,IF(D9=7,Y$14,IF(D9=8,Y$15,))))))))</f>
        <v>0</v>
      </c>
      <c r="L9" s="213">
        <f>(H9+K9)*F$2</f>
        <v>0</v>
      </c>
      <c r="M9" s="213">
        <f>(J9+K9)*F$3</f>
        <v>0</v>
      </c>
      <c r="N9" s="213">
        <f>(B9*C9)+K9</f>
        <v>0</v>
      </c>
      <c r="O9" s="215">
        <f>(B9*C9)+K9</f>
        <v>0</v>
      </c>
      <c r="P9" s="216">
        <f>A9</f>
        <v>0</v>
      </c>
      <c r="Q9" s="217">
        <f t="shared" ref="Q9:Q25" si="1">IF($E9=Q$8,$F9,0)</f>
        <v>0</v>
      </c>
      <c r="R9" s="217">
        <f t="shared" ref="R9:U24" si="2">IF($E9=R$8,$F9,0)</f>
        <v>0</v>
      </c>
      <c r="S9" s="217">
        <f t="shared" si="2"/>
        <v>0</v>
      </c>
      <c r="T9" s="217">
        <f t="shared" si="2"/>
        <v>0</v>
      </c>
      <c r="U9" s="217">
        <f t="shared" si="2"/>
        <v>0</v>
      </c>
      <c r="V9" s="218"/>
      <c r="W9" s="208">
        <v>2</v>
      </c>
      <c r="X9" s="219">
        <v>0.85</v>
      </c>
      <c r="Y9" s="220">
        <f>X9*2</f>
        <v>1.7</v>
      </c>
    </row>
    <row r="10" spans="1:25" s="203" customFormat="1">
      <c r="A10" s="209">
        <v>0</v>
      </c>
      <c r="B10" s="210">
        <v>0</v>
      </c>
      <c r="C10" s="210">
        <v>0</v>
      </c>
      <c r="D10" s="210">
        <v>0</v>
      </c>
      <c r="E10" s="211" t="s">
        <v>10</v>
      </c>
      <c r="F10" s="212">
        <v>0</v>
      </c>
      <c r="G10" s="213">
        <f>B10+F$3*2+F$2</f>
        <v>0.5</v>
      </c>
      <c r="H10" s="213">
        <f>G10*C10</f>
        <v>0</v>
      </c>
      <c r="I10" s="213">
        <f>B10+F$3</f>
        <v>0.15</v>
      </c>
      <c r="J10" s="213">
        <f>I10*C10</f>
        <v>0</v>
      </c>
      <c r="K10" s="214">
        <f t="shared" si="0"/>
        <v>0</v>
      </c>
      <c r="L10" s="213">
        <f>(H10+K10)*F$2</f>
        <v>0</v>
      </c>
      <c r="M10" s="213">
        <f>(J10+K10)*F$3</f>
        <v>0</v>
      </c>
      <c r="N10" s="213">
        <f>(B10*C10)+K10</f>
        <v>0</v>
      </c>
      <c r="O10" s="215">
        <f>(B10*C10)+K10</f>
        <v>0</v>
      </c>
      <c r="P10" s="221">
        <f t="shared" ref="P10:P25" si="3">A10</f>
        <v>0</v>
      </c>
      <c r="Q10" s="222">
        <f t="shared" si="1"/>
        <v>0</v>
      </c>
      <c r="R10" s="222">
        <f t="shared" si="2"/>
        <v>0</v>
      </c>
      <c r="S10" s="222">
        <f t="shared" si="2"/>
        <v>0</v>
      </c>
      <c r="T10" s="222">
        <f t="shared" si="2"/>
        <v>0</v>
      </c>
      <c r="U10" s="222">
        <f t="shared" si="2"/>
        <v>0</v>
      </c>
      <c r="W10" s="208">
        <v>3</v>
      </c>
      <c r="X10" s="219">
        <v>1.93</v>
      </c>
      <c r="Y10" s="219">
        <f t="shared" ref="Y10:Y24" si="4">X10*2</f>
        <v>3.86</v>
      </c>
    </row>
    <row r="11" spans="1:25" s="203" customFormat="1">
      <c r="A11" s="209">
        <v>0</v>
      </c>
      <c r="B11" s="210">
        <v>0</v>
      </c>
      <c r="C11" s="210">
        <v>0</v>
      </c>
      <c r="D11" s="210">
        <v>0</v>
      </c>
      <c r="E11" s="211" t="s">
        <v>10</v>
      </c>
      <c r="F11" s="212">
        <v>0</v>
      </c>
      <c r="G11" s="213">
        <f t="shared" ref="G11:G18" si="5">B11+F$3*2+F$2</f>
        <v>0.5</v>
      </c>
      <c r="H11" s="213">
        <f t="shared" ref="H11:H18" si="6">G11*C11</f>
        <v>0</v>
      </c>
      <c r="I11" s="213">
        <f t="shared" ref="I11:I18" si="7">B11+F$3</f>
        <v>0.15</v>
      </c>
      <c r="J11" s="213">
        <f t="shared" ref="J11:J18" si="8">I11*C11</f>
        <v>0</v>
      </c>
      <c r="K11" s="214">
        <f t="shared" si="0"/>
        <v>0</v>
      </c>
      <c r="L11" s="213">
        <f t="shared" ref="L11:L18" si="9">(H11+K11)*F$2</f>
        <v>0</v>
      </c>
      <c r="M11" s="213">
        <f t="shared" ref="M11:M18" si="10">(J11+K11)*F$3</f>
        <v>0</v>
      </c>
      <c r="N11" s="213">
        <f t="shared" ref="N11:N18" si="11">(B11*C11)+K11</f>
        <v>0</v>
      </c>
      <c r="O11" s="215">
        <f t="shared" ref="O11:O18" si="12">(B11*C11)+K11</f>
        <v>0</v>
      </c>
      <c r="P11" s="221">
        <f t="shared" si="3"/>
        <v>0</v>
      </c>
      <c r="Q11" s="222">
        <f t="shared" si="1"/>
        <v>0</v>
      </c>
      <c r="R11" s="222">
        <f t="shared" si="2"/>
        <v>0</v>
      </c>
      <c r="S11" s="222">
        <f t="shared" si="2"/>
        <v>0</v>
      </c>
      <c r="T11" s="222">
        <f t="shared" si="2"/>
        <v>0</v>
      </c>
      <c r="U11" s="222">
        <f t="shared" si="2"/>
        <v>0</v>
      </c>
      <c r="W11" s="208">
        <v>4</v>
      </c>
      <c r="X11" s="219">
        <v>3.43</v>
      </c>
      <c r="Y11" s="219">
        <f t="shared" si="4"/>
        <v>6.86</v>
      </c>
    </row>
    <row r="12" spans="1:25" s="203" customFormat="1">
      <c r="A12" s="209">
        <v>0</v>
      </c>
      <c r="B12" s="210">
        <v>0</v>
      </c>
      <c r="C12" s="210">
        <v>0</v>
      </c>
      <c r="D12" s="210">
        <v>0</v>
      </c>
      <c r="E12" s="211" t="s">
        <v>10</v>
      </c>
      <c r="F12" s="212">
        <v>0</v>
      </c>
      <c r="G12" s="213">
        <f t="shared" si="5"/>
        <v>0.5</v>
      </c>
      <c r="H12" s="213">
        <f t="shared" si="6"/>
        <v>0</v>
      </c>
      <c r="I12" s="213">
        <f t="shared" si="7"/>
        <v>0.15</v>
      </c>
      <c r="J12" s="213">
        <f t="shared" si="8"/>
        <v>0</v>
      </c>
      <c r="K12" s="214">
        <f t="shared" si="0"/>
        <v>0</v>
      </c>
      <c r="L12" s="213">
        <f t="shared" si="9"/>
        <v>0</v>
      </c>
      <c r="M12" s="213">
        <f t="shared" si="10"/>
        <v>0</v>
      </c>
      <c r="N12" s="213">
        <f t="shared" si="11"/>
        <v>0</v>
      </c>
      <c r="O12" s="215">
        <f t="shared" si="12"/>
        <v>0</v>
      </c>
      <c r="P12" s="221">
        <f t="shared" si="3"/>
        <v>0</v>
      </c>
      <c r="Q12" s="222">
        <f t="shared" si="1"/>
        <v>0</v>
      </c>
      <c r="R12" s="222">
        <f t="shared" si="2"/>
        <v>0</v>
      </c>
      <c r="S12" s="222">
        <f t="shared" si="2"/>
        <v>0</v>
      </c>
      <c r="T12" s="222">
        <f t="shared" si="2"/>
        <v>0</v>
      </c>
      <c r="U12" s="222">
        <f t="shared" si="2"/>
        <v>0</v>
      </c>
      <c r="W12" s="208">
        <v>5</v>
      </c>
      <c r="X12" s="219">
        <v>5.36</v>
      </c>
      <c r="Y12" s="219">
        <f t="shared" si="4"/>
        <v>10.72</v>
      </c>
    </row>
    <row r="13" spans="1:25" s="203" customFormat="1">
      <c r="A13" s="209">
        <v>0</v>
      </c>
      <c r="B13" s="210">
        <v>0</v>
      </c>
      <c r="C13" s="210">
        <v>0</v>
      </c>
      <c r="D13" s="210">
        <v>0</v>
      </c>
      <c r="E13" s="211" t="s">
        <v>10</v>
      </c>
      <c r="F13" s="212">
        <v>0</v>
      </c>
      <c r="G13" s="213">
        <f t="shared" si="5"/>
        <v>0.5</v>
      </c>
      <c r="H13" s="213">
        <f t="shared" si="6"/>
        <v>0</v>
      </c>
      <c r="I13" s="213">
        <f t="shared" si="7"/>
        <v>0.15</v>
      </c>
      <c r="J13" s="213">
        <f t="shared" si="8"/>
        <v>0</v>
      </c>
      <c r="K13" s="214">
        <f t="shared" si="0"/>
        <v>0</v>
      </c>
      <c r="L13" s="213">
        <f t="shared" si="9"/>
        <v>0</v>
      </c>
      <c r="M13" s="213">
        <f t="shared" si="10"/>
        <v>0</v>
      </c>
      <c r="N13" s="213">
        <f t="shared" si="11"/>
        <v>0</v>
      </c>
      <c r="O13" s="215">
        <f t="shared" si="12"/>
        <v>0</v>
      </c>
      <c r="P13" s="221">
        <f t="shared" si="3"/>
        <v>0</v>
      </c>
      <c r="Q13" s="222">
        <f t="shared" si="1"/>
        <v>0</v>
      </c>
      <c r="R13" s="222">
        <f t="shared" si="2"/>
        <v>0</v>
      </c>
      <c r="S13" s="222">
        <f t="shared" si="2"/>
        <v>0</v>
      </c>
      <c r="T13" s="222">
        <f t="shared" si="2"/>
        <v>0</v>
      </c>
      <c r="U13" s="222">
        <f t="shared" si="2"/>
        <v>0</v>
      </c>
      <c r="W13" s="208">
        <v>6</v>
      </c>
      <c r="X13" s="219">
        <v>7.72</v>
      </c>
      <c r="Y13" s="219">
        <f t="shared" si="4"/>
        <v>15.44</v>
      </c>
    </row>
    <row r="14" spans="1:25" s="203" customFormat="1">
      <c r="A14" s="209">
        <v>0</v>
      </c>
      <c r="B14" s="210">
        <v>0</v>
      </c>
      <c r="C14" s="210">
        <v>0</v>
      </c>
      <c r="D14" s="210">
        <v>0</v>
      </c>
      <c r="E14" s="211" t="s">
        <v>10</v>
      </c>
      <c r="F14" s="212">
        <v>0</v>
      </c>
      <c r="G14" s="213">
        <f t="shared" si="5"/>
        <v>0.5</v>
      </c>
      <c r="H14" s="213">
        <f t="shared" si="6"/>
        <v>0</v>
      </c>
      <c r="I14" s="213">
        <f t="shared" si="7"/>
        <v>0.15</v>
      </c>
      <c r="J14" s="213">
        <f t="shared" si="8"/>
        <v>0</v>
      </c>
      <c r="K14" s="214">
        <f t="shared" si="0"/>
        <v>0</v>
      </c>
      <c r="L14" s="213">
        <f t="shared" si="9"/>
        <v>0</v>
      </c>
      <c r="M14" s="213">
        <f t="shared" si="10"/>
        <v>0</v>
      </c>
      <c r="N14" s="213">
        <f t="shared" si="11"/>
        <v>0</v>
      </c>
      <c r="O14" s="215">
        <f t="shared" si="12"/>
        <v>0</v>
      </c>
      <c r="P14" s="221">
        <f t="shared" si="3"/>
        <v>0</v>
      </c>
      <c r="Q14" s="222">
        <f t="shared" si="1"/>
        <v>0</v>
      </c>
      <c r="R14" s="222">
        <f t="shared" si="2"/>
        <v>0</v>
      </c>
      <c r="S14" s="222">
        <f t="shared" si="2"/>
        <v>0</v>
      </c>
      <c r="T14" s="222">
        <f t="shared" si="2"/>
        <v>0</v>
      </c>
      <c r="U14" s="222">
        <f t="shared" si="2"/>
        <v>0</v>
      </c>
      <c r="W14" s="208">
        <v>7</v>
      </c>
      <c r="X14" s="219">
        <v>10.51</v>
      </c>
      <c r="Y14" s="219">
        <f t="shared" si="4"/>
        <v>21.02</v>
      </c>
    </row>
    <row r="15" spans="1:25" s="203" customFormat="1">
      <c r="A15" s="223">
        <v>0</v>
      </c>
      <c r="B15" s="210">
        <v>0</v>
      </c>
      <c r="C15" s="210">
        <v>0</v>
      </c>
      <c r="D15" s="210">
        <v>0</v>
      </c>
      <c r="E15" s="211" t="s">
        <v>10</v>
      </c>
      <c r="F15" s="212">
        <v>0</v>
      </c>
      <c r="G15" s="213">
        <f t="shared" si="5"/>
        <v>0.5</v>
      </c>
      <c r="H15" s="213">
        <f t="shared" si="6"/>
        <v>0</v>
      </c>
      <c r="I15" s="213">
        <f t="shared" si="7"/>
        <v>0.15</v>
      </c>
      <c r="J15" s="213">
        <f t="shared" si="8"/>
        <v>0</v>
      </c>
      <c r="K15" s="214">
        <f t="shared" si="0"/>
        <v>0</v>
      </c>
      <c r="L15" s="213">
        <f t="shared" si="9"/>
        <v>0</v>
      </c>
      <c r="M15" s="213">
        <f t="shared" si="10"/>
        <v>0</v>
      </c>
      <c r="N15" s="213">
        <f t="shared" si="11"/>
        <v>0</v>
      </c>
      <c r="O15" s="215">
        <f t="shared" si="12"/>
        <v>0</v>
      </c>
      <c r="P15" s="221">
        <f t="shared" si="3"/>
        <v>0</v>
      </c>
      <c r="Q15" s="222">
        <f t="shared" si="1"/>
        <v>0</v>
      </c>
      <c r="R15" s="222">
        <f t="shared" si="2"/>
        <v>0</v>
      </c>
      <c r="S15" s="222">
        <f t="shared" si="2"/>
        <v>0</v>
      </c>
      <c r="T15" s="222">
        <f t="shared" si="2"/>
        <v>0</v>
      </c>
      <c r="U15" s="222">
        <f t="shared" si="2"/>
        <v>0</v>
      </c>
      <c r="W15" s="208">
        <v>8</v>
      </c>
      <c r="X15" s="219">
        <v>13.73</v>
      </c>
      <c r="Y15" s="219">
        <f t="shared" si="4"/>
        <v>27.46</v>
      </c>
    </row>
    <row r="16" spans="1:25" s="203" customFormat="1">
      <c r="A16" s="223"/>
      <c r="B16" s="210">
        <v>0</v>
      </c>
      <c r="C16" s="210">
        <v>0</v>
      </c>
      <c r="D16" s="210">
        <v>0</v>
      </c>
      <c r="E16" s="211" t="s">
        <v>10</v>
      </c>
      <c r="F16" s="212">
        <v>0</v>
      </c>
      <c r="G16" s="213">
        <f t="shared" si="5"/>
        <v>0.5</v>
      </c>
      <c r="H16" s="213">
        <f t="shared" si="6"/>
        <v>0</v>
      </c>
      <c r="I16" s="213">
        <f t="shared" si="7"/>
        <v>0.15</v>
      </c>
      <c r="J16" s="213">
        <f t="shared" si="8"/>
        <v>0</v>
      </c>
      <c r="K16" s="214">
        <f t="shared" si="0"/>
        <v>0</v>
      </c>
      <c r="L16" s="213">
        <f t="shared" si="9"/>
        <v>0</v>
      </c>
      <c r="M16" s="213">
        <f t="shared" si="10"/>
        <v>0</v>
      </c>
      <c r="N16" s="213">
        <f t="shared" si="11"/>
        <v>0</v>
      </c>
      <c r="O16" s="215">
        <f t="shared" si="12"/>
        <v>0</v>
      </c>
      <c r="P16" s="221">
        <f t="shared" si="3"/>
        <v>0</v>
      </c>
      <c r="Q16" s="222">
        <f t="shared" si="1"/>
        <v>0</v>
      </c>
      <c r="R16" s="222">
        <f t="shared" si="2"/>
        <v>0</v>
      </c>
      <c r="S16" s="222">
        <f t="shared" si="2"/>
        <v>0</v>
      </c>
      <c r="T16" s="222">
        <f t="shared" si="2"/>
        <v>0</v>
      </c>
      <c r="U16" s="222">
        <f t="shared" si="2"/>
        <v>0</v>
      </c>
      <c r="W16" s="208">
        <v>9</v>
      </c>
      <c r="X16" s="219">
        <v>17.38</v>
      </c>
      <c r="Y16" s="219">
        <f t="shared" si="4"/>
        <v>34.76</v>
      </c>
    </row>
    <row r="17" spans="1:25" s="203" customFormat="1">
      <c r="A17" s="223"/>
      <c r="B17" s="210">
        <v>0</v>
      </c>
      <c r="C17" s="210">
        <v>0</v>
      </c>
      <c r="D17" s="210">
        <v>0</v>
      </c>
      <c r="E17" s="211" t="s">
        <v>10</v>
      </c>
      <c r="F17" s="212">
        <v>0</v>
      </c>
      <c r="G17" s="213">
        <f t="shared" si="5"/>
        <v>0.5</v>
      </c>
      <c r="H17" s="213">
        <f t="shared" si="6"/>
        <v>0</v>
      </c>
      <c r="I17" s="213">
        <f t="shared" si="7"/>
        <v>0.15</v>
      </c>
      <c r="J17" s="213">
        <f t="shared" si="8"/>
        <v>0</v>
      </c>
      <c r="K17" s="214">
        <f t="shared" si="0"/>
        <v>0</v>
      </c>
      <c r="L17" s="213">
        <f t="shared" si="9"/>
        <v>0</v>
      </c>
      <c r="M17" s="213">
        <f t="shared" si="10"/>
        <v>0</v>
      </c>
      <c r="N17" s="213">
        <f t="shared" si="11"/>
        <v>0</v>
      </c>
      <c r="O17" s="215">
        <f t="shared" si="12"/>
        <v>0</v>
      </c>
      <c r="P17" s="221">
        <f t="shared" si="3"/>
        <v>0</v>
      </c>
      <c r="Q17" s="222">
        <f t="shared" si="1"/>
        <v>0</v>
      </c>
      <c r="R17" s="222">
        <f t="shared" si="2"/>
        <v>0</v>
      </c>
      <c r="S17" s="222">
        <f t="shared" si="2"/>
        <v>0</v>
      </c>
      <c r="T17" s="222">
        <f t="shared" si="2"/>
        <v>0</v>
      </c>
      <c r="U17" s="222">
        <f t="shared" si="2"/>
        <v>0</v>
      </c>
      <c r="W17" s="208">
        <v>10</v>
      </c>
      <c r="X17" s="219">
        <v>21.46</v>
      </c>
      <c r="Y17" s="219">
        <f t="shared" si="4"/>
        <v>42.92</v>
      </c>
    </row>
    <row r="18" spans="1:25" s="203" customFormat="1">
      <c r="A18" s="224"/>
      <c r="B18" s="210">
        <v>0</v>
      </c>
      <c r="C18" s="210">
        <v>0</v>
      </c>
      <c r="D18" s="210">
        <v>0</v>
      </c>
      <c r="E18" s="211" t="s">
        <v>10</v>
      </c>
      <c r="F18" s="212">
        <v>0</v>
      </c>
      <c r="G18" s="213">
        <f t="shared" si="5"/>
        <v>0.5</v>
      </c>
      <c r="H18" s="213">
        <f t="shared" si="6"/>
        <v>0</v>
      </c>
      <c r="I18" s="213">
        <f t="shared" si="7"/>
        <v>0.15</v>
      </c>
      <c r="J18" s="213">
        <f t="shared" si="8"/>
        <v>0</v>
      </c>
      <c r="K18" s="214">
        <f t="shared" si="0"/>
        <v>0</v>
      </c>
      <c r="L18" s="213">
        <f t="shared" si="9"/>
        <v>0</v>
      </c>
      <c r="M18" s="213">
        <f t="shared" si="10"/>
        <v>0</v>
      </c>
      <c r="N18" s="213">
        <f t="shared" si="11"/>
        <v>0</v>
      </c>
      <c r="O18" s="215">
        <f t="shared" si="12"/>
        <v>0</v>
      </c>
      <c r="P18" s="221">
        <f t="shared" si="3"/>
        <v>0</v>
      </c>
      <c r="Q18" s="222">
        <f t="shared" si="1"/>
        <v>0</v>
      </c>
      <c r="R18" s="222">
        <f t="shared" si="2"/>
        <v>0</v>
      </c>
      <c r="S18" s="222">
        <f t="shared" si="2"/>
        <v>0</v>
      </c>
      <c r="T18" s="222">
        <f t="shared" si="2"/>
        <v>0</v>
      </c>
      <c r="U18" s="222">
        <f t="shared" si="2"/>
        <v>0</v>
      </c>
      <c r="W18" s="208">
        <v>11</v>
      </c>
      <c r="X18" s="219">
        <v>25.96</v>
      </c>
      <c r="Y18" s="219">
        <f t="shared" si="4"/>
        <v>51.92</v>
      </c>
    </row>
    <row r="19" spans="1:25" s="203" customFormat="1">
      <c r="A19" s="224"/>
      <c r="B19" s="225"/>
      <c r="C19" s="225"/>
      <c r="D19" s="225"/>
      <c r="E19" s="226"/>
      <c r="F19" s="226"/>
      <c r="G19" s="213"/>
      <c r="H19" s="213"/>
      <c r="I19" s="213"/>
      <c r="J19" s="213"/>
      <c r="K19" s="213"/>
      <c r="L19" s="213"/>
      <c r="M19" s="213"/>
      <c r="N19" s="213"/>
      <c r="O19" s="227"/>
      <c r="P19" s="221">
        <f t="shared" si="3"/>
        <v>0</v>
      </c>
      <c r="Q19" s="222">
        <f t="shared" si="1"/>
        <v>0</v>
      </c>
      <c r="R19" s="222">
        <f t="shared" si="2"/>
        <v>0</v>
      </c>
      <c r="S19" s="222">
        <f t="shared" si="2"/>
        <v>0</v>
      </c>
      <c r="T19" s="222">
        <f t="shared" si="2"/>
        <v>0</v>
      </c>
      <c r="U19" s="222">
        <f t="shared" si="2"/>
        <v>0</v>
      </c>
      <c r="W19" s="208">
        <v>12</v>
      </c>
      <c r="X19" s="219">
        <v>30.9</v>
      </c>
      <c r="Y19" s="219">
        <f t="shared" si="4"/>
        <v>61.8</v>
      </c>
    </row>
    <row r="20" spans="1:25" s="203" customFormat="1">
      <c r="A20" s="224"/>
      <c r="B20" s="225"/>
      <c r="C20" s="225"/>
      <c r="D20" s="225"/>
      <c r="E20" s="226"/>
      <c r="F20" s="226"/>
      <c r="G20" s="213"/>
      <c r="H20" s="213"/>
      <c r="I20" s="213"/>
      <c r="J20" s="213"/>
      <c r="K20" s="213"/>
      <c r="L20" s="213"/>
      <c r="M20" s="213"/>
      <c r="N20" s="213"/>
      <c r="O20" s="227"/>
      <c r="P20" s="221">
        <f t="shared" si="3"/>
        <v>0</v>
      </c>
      <c r="Q20" s="222">
        <f t="shared" si="1"/>
        <v>0</v>
      </c>
      <c r="R20" s="222">
        <f t="shared" si="2"/>
        <v>0</v>
      </c>
      <c r="S20" s="222">
        <f t="shared" si="2"/>
        <v>0</v>
      </c>
      <c r="T20" s="222">
        <f t="shared" si="2"/>
        <v>0</v>
      </c>
      <c r="U20" s="222">
        <f t="shared" si="2"/>
        <v>0</v>
      </c>
      <c r="W20" s="208">
        <v>13</v>
      </c>
      <c r="X20" s="219">
        <v>36.26</v>
      </c>
      <c r="Y20" s="219">
        <f t="shared" si="4"/>
        <v>72.52</v>
      </c>
    </row>
    <row r="21" spans="1:25" s="203" customFormat="1">
      <c r="A21" s="224"/>
      <c r="B21" s="225"/>
      <c r="C21" s="225"/>
      <c r="D21" s="225"/>
      <c r="E21" s="226"/>
      <c r="F21" s="226"/>
      <c r="G21" s="213"/>
      <c r="H21" s="213"/>
      <c r="I21" s="213"/>
      <c r="J21" s="213"/>
      <c r="K21" s="213"/>
      <c r="L21" s="213"/>
      <c r="M21" s="213"/>
      <c r="N21" s="213"/>
      <c r="O21" s="227"/>
      <c r="P21" s="221">
        <f t="shared" si="3"/>
        <v>0</v>
      </c>
      <c r="Q21" s="222">
        <f t="shared" si="1"/>
        <v>0</v>
      </c>
      <c r="R21" s="222">
        <f t="shared" si="2"/>
        <v>0</v>
      </c>
      <c r="S21" s="222">
        <f t="shared" si="2"/>
        <v>0</v>
      </c>
      <c r="T21" s="222">
        <f t="shared" si="2"/>
        <v>0</v>
      </c>
      <c r="U21" s="222">
        <f t="shared" si="2"/>
        <v>0</v>
      </c>
      <c r="W21" s="208">
        <v>14</v>
      </c>
      <c r="X21" s="219">
        <v>42.06</v>
      </c>
      <c r="Y21" s="219">
        <f t="shared" si="4"/>
        <v>84.12</v>
      </c>
    </row>
    <row r="22" spans="1:25" s="203" customFormat="1">
      <c r="A22" s="224"/>
      <c r="B22" s="225"/>
      <c r="C22" s="225"/>
      <c r="D22" s="225"/>
      <c r="E22" s="226"/>
      <c r="F22" s="226"/>
      <c r="G22" s="213"/>
      <c r="H22" s="213"/>
      <c r="I22" s="213"/>
      <c r="J22" s="213"/>
      <c r="K22" s="213"/>
      <c r="L22" s="213"/>
      <c r="M22" s="213"/>
      <c r="N22" s="213"/>
      <c r="O22" s="227"/>
      <c r="P22" s="221">
        <f t="shared" si="3"/>
        <v>0</v>
      </c>
      <c r="Q22" s="222">
        <f t="shared" si="1"/>
        <v>0</v>
      </c>
      <c r="R22" s="222">
        <f t="shared" si="2"/>
        <v>0</v>
      </c>
      <c r="S22" s="222">
        <f t="shared" si="2"/>
        <v>0</v>
      </c>
      <c r="T22" s="222">
        <f t="shared" si="2"/>
        <v>0</v>
      </c>
      <c r="U22" s="222">
        <f t="shared" si="2"/>
        <v>0</v>
      </c>
      <c r="W22" s="208">
        <v>15</v>
      </c>
      <c r="X22" s="219">
        <v>48.28</v>
      </c>
      <c r="Y22" s="219">
        <f t="shared" si="4"/>
        <v>96.56</v>
      </c>
    </row>
    <row r="23" spans="1:25" s="203" customFormat="1">
      <c r="A23" s="224"/>
      <c r="B23" s="225"/>
      <c r="C23" s="225"/>
      <c r="D23" s="225"/>
      <c r="E23" s="226"/>
      <c r="F23" s="226"/>
      <c r="G23" s="213"/>
      <c r="H23" s="213"/>
      <c r="I23" s="213"/>
      <c r="J23" s="213"/>
      <c r="K23" s="213"/>
      <c r="L23" s="213"/>
      <c r="M23" s="213"/>
      <c r="N23" s="213"/>
      <c r="O23" s="227"/>
      <c r="P23" s="221">
        <f t="shared" si="3"/>
        <v>0</v>
      </c>
      <c r="Q23" s="222">
        <f t="shared" si="1"/>
        <v>0</v>
      </c>
      <c r="R23" s="222">
        <f t="shared" si="2"/>
        <v>0</v>
      </c>
      <c r="S23" s="222">
        <f t="shared" si="2"/>
        <v>0</v>
      </c>
      <c r="T23" s="222">
        <f t="shared" si="2"/>
        <v>0</v>
      </c>
      <c r="U23" s="222">
        <f t="shared" si="2"/>
        <v>0</v>
      </c>
      <c r="W23" s="208">
        <v>20</v>
      </c>
      <c r="X23" s="219">
        <v>85.84</v>
      </c>
      <c r="Y23" s="219">
        <f t="shared" si="4"/>
        <v>171.68</v>
      </c>
    </row>
    <row r="24" spans="1:25" s="203" customFormat="1">
      <c r="A24" s="224"/>
      <c r="B24" s="225"/>
      <c r="C24" s="225"/>
      <c r="D24" s="225"/>
      <c r="E24" s="226"/>
      <c r="F24" s="226"/>
      <c r="G24" s="213"/>
      <c r="H24" s="213"/>
      <c r="I24" s="213"/>
      <c r="J24" s="213"/>
      <c r="K24" s="213"/>
      <c r="L24" s="213"/>
      <c r="M24" s="213"/>
      <c r="N24" s="213"/>
      <c r="O24" s="227"/>
      <c r="P24" s="221">
        <f t="shared" si="3"/>
        <v>0</v>
      </c>
      <c r="Q24" s="222">
        <f t="shared" si="1"/>
        <v>0</v>
      </c>
      <c r="R24" s="222">
        <f t="shared" si="2"/>
        <v>0</v>
      </c>
      <c r="S24" s="222">
        <f t="shared" si="2"/>
        <v>0</v>
      </c>
      <c r="T24" s="222">
        <f t="shared" si="2"/>
        <v>0</v>
      </c>
      <c r="U24" s="222">
        <f t="shared" si="2"/>
        <v>0</v>
      </c>
      <c r="W24" s="208">
        <v>30</v>
      </c>
      <c r="X24" s="219">
        <v>193.14</v>
      </c>
      <c r="Y24" s="219">
        <f t="shared" si="4"/>
        <v>386.28</v>
      </c>
    </row>
    <row r="25" spans="1:25" s="203" customFormat="1" ht="24" thickBot="1">
      <c r="A25" s="228"/>
      <c r="B25" s="229"/>
      <c r="C25" s="229"/>
      <c r="D25" s="229"/>
      <c r="E25" s="230"/>
      <c r="F25" s="230"/>
      <c r="G25" s="231"/>
      <c r="H25" s="231"/>
      <c r="I25" s="231"/>
      <c r="J25" s="231"/>
      <c r="K25" s="231"/>
      <c r="L25" s="232"/>
      <c r="M25" s="232"/>
      <c r="N25" s="231"/>
      <c r="O25" s="233"/>
      <c r="P25" s="234">
        <f t="shared" si="3"/>
        <v>0</v>
      </c>
      <c r="Q25" s="235">
        <f t="shared" si="1"/>
        <v>0</v>
      </c>
      <c r="R25" s="235">
        <f>IF($E25=R$8,$F25,0)</f>
        <v>0</v>
      </c>
      <c r="S25" s="235">
        <f>IF($E25=S$8,$F25,0)</f>
        <v>0</v>
      </c>
      <c r="T25" s="235">
        <f>IF($E25=T$8,$F25,0)</f>
        <v>0</v>
      </c>
      <c r="U25" s="235">
        <f>IF($E25=U$8,$F25,0)</f>
        <v>0</v>
      </c>
    </row>
    <row r="26" spans="1:25" s="241" customFormat="1" ht="24" thickBot="1">
      <c r="A26" s="1564" t="s">
        <v>26</v>
      </c>
      <c r="B26" s="1565"/>
      <c r="C26" s="1565"/>
      <c r="D26" s="1565"/>
      <c r="E26" s="1565"/>
      <c r="F26" s="1565"/>
      <c r="G26" s="1565"/>
      <c r="H26" s="1565"/>
      <c r="I26" s="1565"/>
      <c r="J26" s="1566"/>
      <c r="K26" s="236"/>
      <c r="L26" s="237">
        <f>INT(SUM(L9:L25))</f>
        <v>0</v>
      </c>
      <c r="M26" s="237">
        <f>INT(SUM(M9:M25))</f>
        <v>0</v>
      </c>
      <c r="N26" s="237">
        <f>INT(SUM(N9:N25))</f>
        <v>0</v>
      </c>
      <c r="O26" s="238">
        <f>INT(SUM(O9:O25))</f>
        <v>0</v>
      </c>
      <c r="P26" s="239" t="s">
        <v>26</v>
      </c>
      <c r="Q26" s="240">
        <f>SUM(Q9:Q25)</f>
        <v>0</v>
      </c>
      <c r="R26" s="240">
        <f>SUM(R9:R25)</f>
        <v>0</v>
      </c>
      <c r="S26" s="240">
        <f>SUM(S9:S25)</f>
        <v>0</v>
      </c>
      <c r="T26" s="240">
        <f>SUM(T9:T25)</f>
        <v>0</v>
      </c>
      <c r="U26" s="240">
        <f>SUM(U9:U25)</f>
        <v>0</v>
      </c>
    </row>
    <row r="27" spans="1:25" s="200" customFormat="1">
      <c r="A27" s="242"/>
      <c r="B27" s="243"/>
      <c r="C27" s="243"/>
      <c r="D27" s="243"/>
      <c r="E27" s="243"/>
      <c r="F27" s="243"/>
      <c r="G27" s="243"/>
      <c r="H27" s="243"/>
    </row>
    <row r="28" spans="1:25" s="200" customFormat="1">
      <c r="A28" s="242"/>
      <c r="B28" s="244" t="s">
        <v>1405</v>
      </c>
      <c r="C28" s="243"/>
      <c r="D28" s="243"/>
      <c r="E28" s="243"/>
      <c r="F28" s="243"/>
      <c r="G28" s="243"/>
      <c r="H28" s="243"/>
    </row>
    <row r="29" spans="1:25" s="200" customFormat="1">
      <c r="A29" s="242"/>
      <c r="B29" s="245" t="s">
        <v>1194</v>
      </c>
      <c r="C29" s="245" t="s">
        <v>1149</v>
      </c>
    </row>
    <row r="30" spans="1:25" s="200" customFormat="1">
      <c r="A30" s="242"/>
      <c r="B30" s="246" t="s">
        <v>811</v>
      </c>
      <c r="C30" s="246" t="s">
        <v>811</v>
      </c>
      <c r="I30" s="247"/>
      <c r="J30" s="247"/>
      <c r="K30" s="248"/>
      <c r="L30" s="248"/>
      <c r="M30" s="248"/>
      <c r="N30" s="248"/>
      <c r="O30" s="248"/>
    </row>
    <row r="31" spans="1:25" s="200" customFormat="1">
      <c r="A31" s="242"/>
      <c r="B31" s="208" t="s">
        <v>1083</v>
      </c>
      <c r="C31" s="240">
        <f>Q26</f>
        <v>0</v>
      </c>
    </row>
    <row r="32" spans="1:25" s="200" customFormat="1">
      <c r="A32" s="242"/>
      <c r="B32" s="208" t="s">
        <v>1085</v>
      </c>
      <c r="C32" s="240">
        <f>R26</f>
        <v>0</v>
      </c>
      <c r="D32" s="243"/>
      <c r="E32" s="243"/>
      <c r="F32" s="243"/>
      <c r="G32" s="243"/>
      <c r="H32" s="243"/>
    </row>
    <row r="33" spans="1:8" s="200" customFormat="1">
      <c r="A33" s="242"/>
      <c r="B33" s="208" t="s">
        <v>1086</v>
      </c>
      <c r="C33" s="240">
        <f>S26</f>
        <v>0</v>
      </c>
      <c r="D33" s="243"/>
      <c r="E33" s="243"/>
      <c r="F33" s="243"/>
      <c r="G33" s="243"/>
      <c r="H33" s="243"/>
    </row>
    <row r="34" spans="1:8" s="200" customFormat="1">
      <c r="A34" s="242"/>
      <c r="B34" s="208" t="s">
        <v>1087</v>
      </c>
      <c r="C34" s="240">
        <f>T26</f>
        <v>0</v>
      </c>
      <c r="D34" s="243"/>
      <c r="E34" s="243"/>
      <c r="F34" s="243"/>
      <c r="G34" s="243"/>
      <c r="H34" s="243"/>
    </row>
    <row r="35" spans="1:8" s="200" customFormat="1">
      <c r="A35" s="242"/>
      <c r="B35" s="208" t="s">
        <v>1088</v>
      </c>
      <c r="C35" s="240">
        <f>U26</f>
        <v>0</v>
      </c>
      <c r="D35" s="243"/>
      <c r="E35" s="243"/>
      <c r="F35" s="243"/>
      <c r="G35" s="243"/>
      <c r="H35" s="243"/>
    </row>
    <row r="36" spans="1:8" s="200" customFormat="1">
      <c r="A36" s="242"/>
      <c r="B36" s="243"/>
      <c r="C36" s="243"/>
      <c r="D36" s="243"/>
      <c r="E36" s="243"/>
      <c r="F36" s="243"/>
      <c r="G36" s="243"/>
      <c r="H36" s="243"/>
    </row>
    <row r="37" spans="1:8" s="200" customFormat="1">
      <c r="A37" s="242"/>
      <c r="B37" s="243"/>
      <c r="C37" s="243"/>
      <c r="D37" s="243"/>
      <c r="E37" s="243"/>
      <c r="F37" s="243"/>
      <c r="G37" s="243"/>
      <c r="H37" s="243"/>
    </row>
    <row r="38" spans="1:8" s="200" customFormat="1">
      <c r="A38" s="242"/>
      <c r="B38" s="243"/>
      <c r="C38" s="243"/>
      <c r="D38" s="243"/>
      <c r="E38" s="243"/>
      <c r="F38" s="243"/>
      <c r="G38" s="243"/>
      <c r="H38" s="243"/>
    </row>
    <row r="39" spans="1:8" s="200" customFormat="1">
      <c r="A39" s="242"/>
      <c r="B39" s="243"/>
      <c r="C39" s="243"/>
      <c r="D39" s="243"/>
      <c r="E39" s="243"/>
      <c r="F39" s="243"/>
      <c r="G39" s="243"/>
      <c r="H39" s="243"/>
    </row>
    <row r="40" spans="1:8" s="200" customFormat="1">
      <c r="A40" s="242"/>
      <c r="B40" s="243"/>
      <c r="C40" s="243"/>
      <c r="D40" s="243"/>
      <c r="E40" s="243"/>
      <c r="F40" s="243"/>
      <c r="G40" s="243"/>
      <c r="H40" s="243"/>
    </row>
    <row r="41" spans="1:8" s="200" customFormat="1">
      <c r="A41" s="242"/>
      <c r="B41" s="243"/>
      <c r="C41" s="243"/>
      <c r="D41" s="243"/>
      <c r="E41" s="243"/>
      <c r="F41" s="243"/>
      <c r="G41" s="243"/>
      <c r="H41" s="243"/>
    </row>
    <row r="42" spans="1:8" s="200" customFormat="1">
      <c r="A42" s="242"/>
      <c r="B42" s="243"/>
      <c r="C42" s="243"/>
      <c r="D42" s="243"/>
      <c r="E42" s="243"/>
      <c r="F42" s="243"/>
      <c r="G42" s="243"/>
      <c r="H42" s="243"/>
    </row>
    <row r="43" spans="1:8" s="200" customFormat="1">
      <c r="A43" s="242"/>
      <c r="B43" s="243"/>
      <c r="C43" s="243"/>
      <c r="D43" s="243"/>
      <c r="E43" s="243"/>
      <c r="F43" s="243"/>
      <c r="G43" s="243"/>
      <c r="H43" s="243"/>
    </row>
    <row r="44" spans="1:8" s="200" customFormat="1">
      <c r="A44" s="242"/>
      <c r="B44" s="243"/>
      <c r="C44" s="243"/>
      <c r="D44" s="243"/>
      <c r="E44" s="243"/>
      <c r="F44" s="243"/>
      <c r="G44" s="243"/>
      <c r="H44" s="243"/>
    </row>
    <row r="45" spans="1:8" s="200" customFormat="1">
      <c r="A45" s="242"/>
      <c r="B45" s="243"/>
      <c r="C45" s="243"/>
      <c r="D45" s="243"/>
      <c r="E45" s="243"/>
      <c r="F45" s="243"/>
      <c r="G45" s="243"/>
      <c r="H45" s="243"/>
    </row>
    <row r="46" spans="1:8" s="200" customFormat="1">
      <c r="A46" s="242"/>
      <c r="B46" s="243"/>
      <c r="C46" s="243"/>
      <c r="D46" s="243"/>
      <c r="E46" s="243"/>
      <c r="F46" s="243"/>
      <c r="G46" s="243"/>
      <c r="H46" s="243"/>
    </row>
    <row r="47" spans="1:8" s="200" customFormat="1">
      <c r="A47" s="242"/>
      <c r="B47" s="243"/>
      <c r="C47" s="243"/>
      <c r="D47" s="243"/>
      <c r="E47" s="243"/>
      <c r="F47" s="243"/>
      <c r="G47" s="243"/>
      <c r="H47" s="243"/>
    </row>
    <row r="48" spans="1:8" s="200" customFormat="1">
      <c r="A48" s="242"/>
      <c r="B48" s="243"/>
      <c r="C48" s="243"/>
      <c r="D48" s="243"/>
      <c r="E48" s="243"/>
      <c r="F48" s="243"/>
      <c r="G48" s="243"/>
      <c r="H48" s="243"/>
    </row>
    <row r="49" spans="1:8" s="200" customFormat="1">
      <c r="A49" s="242"/>
      <c r="B49" s="243"/>
      <c r="C49" s="243"/>
      <c r="D49" s="243"/>
      <c r="E49" s="243"/>
      <c r="F49" s="243"/>
      <c r="G49" s="243"/>
      <c r="H49" s="243"/>
    </row>
    <row r="50" spans="1:8" s="200" customFormat="1">
      <c r="A50" s="242"/>
      <c r="B50" s="243"/>
      <c r="C50" s="243"/>
      <c r="D50" s="243"/>
      <c r="E50" s="243"/>
      <c r="F50" s="243"/>
      <c r="G50" s="243"/>
      <c r="H50" s="243"/>
    </row>
    <row r="51" spans="1:8" s="200" customFormat="1">
      <c r="A51" s="242"/>
      <c r="B51" s="243"/>
      <c r="C51" s="243"/>
      <c r="D51" s="243"/>
      <c r="E51" s="243"/>
      <c r="F51" s="243"/>
      <c r="G51" s="243"/>
      <c r="H51" s="243"/>
    </row>
    <row r="52" spans="1:8" s="200" customFormat="1">
      <c r="A52" s="242"/>
      <c r="B52" s="243"/>
      <c r="C52" s="243"/>
      <c r="D52" s="243"/>
      <c r="E52" s="243"/>
      <c r="F52" s="243"/>
      <c r="G52" s="243"/>
      <c r="H52" s="243"/>
    </row>
    <row r="53" spans="1:8" s="200" customFormat="1">
      <c r="A53" s="242"/>
      <c r="B53" s="243"/>
      <c r="C53" s="243"/>
      <c r="D53" s="243"/>
      <c r="E53" s="243"/>
      <c r="F53" s="243"/>
      <c r="G53" s="243"/>
      <c r="H53" s="243"/>
    </row>
    <row r="54" spans="1:8" s="200" customFormat="1">
      <c r="A54" s="242"/>
      <c r="B54" s="243"/>
      <c r="C54" s="243"/>
      <c r="D54" s="243"/>
      <c r="E54" s="243"/>
      <c r="F54" s="243"/>
      <c r="G54" s="243"/>
      <c r="H54" s="243"/>
    </row>
    <row r="55" spans="1:8" s="200" customFormat="1">
      <c r="A55" s="242"/>
      <c r="B55" s="243"/>
      <c r="C55" s="243"/>
      <c r="D55" s="243"/>
      <c r="E55" s="243"/>
      <c r="F55" s="243"/>
      <c r="G55" s="243"/>
      <c r="H55" s="243"/>
    </row>
    <row r="56" spans="1:8" s="200" customFormat="1">
      <c r="A56" s="242"/>
      <c r="B56" s="243"/>
      <c r="C56" s="243"/>
      <c r="D56" s="243"/>
      <c r="E56" s="243"/>
      <c r="F56" s="243"/>
      <c r="G56" s="243"/>
      <c r="H56" s="243"/>
    </row>
    <row r="57" spans="1:8" s="200" customFormat="1">
      <c r="A57" s="242"/>
      <c r="B57" s="243"/>
      <c r="C57" s="243"/>
      <c r="D57" s="243"/>
      <c r="E57" s="243"/>
      <c r="F57" s="243"/>
      <c r="G57" s="243"/>
      <c r="H57" s="243"/>
    </row>
    <row r="58" spans="1:8" s="200" customFormat="1">
      <c r="A58" s="242"/>
      <c r="B58" s="243"/>
      <c r="C58" s="243"/>
      <c r="D58" s="243"/>
      <c r="E58" s="243"/>
      <c r="F58" s="243"/>
      <c r="G58" s="243"/>
      <c r="H58" s="243"/>
    </row>
    <row r="59" spans="1:8" s="200" customFormat="1">
      <c r="A59" s="242"/>
      <c r="B59" s="243"/>
      <c r="C59" s="243"/>
      <c r="D59" s="243"/>
      <c r="E59" s="243"/>
      <c r="F59" s="243"/>
      <c r="G59" s="243"/>
      <c r="H59" s="243"/>
    </row>
    <row r="60" spans="1:8" s="200" customFormat="1">
      <c r="A60" s="242"/>
      <c r="B60" s="243"/>
      <c r="C60" s="243"/>
      <c r="D60" s="243"/>
      <c r="E60" s="243"/>
      <c r="F60" s="243"/>
      <c r="G60" s="243"/>
      <c r="H60" s="243"/>
    </row>
    <row r="61" spans="1:8" s="200" customFormat="1">
      <c r="A61" s="242"/>
      <c r="B61" s="243"/>
      <c r="C61" s="243"/>
      <c r="D61" s="243"/>
      <c r="E61" s="243"/>
      <c r="F61" s="243"/>
      <c r="G61" s="243"/>
      <c r="H61" s="243"/>
    </row>
    <row r="62" spans="1:8" s="200" customFormat="1">
      <c r="A62" s="242"/>
      <c r="B62" s="243"/>
      <c r="C62" s="243"/>
      <c r="D62" s="243"/>
      <c r="E62" s="243"/>
      <c r="F62" s="243"/>
      <c r="G62" s="243"/>
      <c r="H62" s="243"/>
    </row>
    <row r="63" spans="1:8" s="200" customFormat="1">
      <c r="A63" s="242"/>
      <c r="B63" s="243"/>
      <c r="C63" s="243"/>
      <c r="D63" s="243"/>
      <c r="E63" s="243"/>
      <c r="F63" s="243"/>
      <c r="G63" s="243"/>
      <c r="H63" s="243"/>
    </row>
    <row r="64" spans="1:8" s="200" customFormat="1">
      <c r="A64" s="242"/>
      <c r="B64" s="243"/>
      <c r="C64" s="243"/>
      <c r="D64" s="243"/>
      <c r="E64" s="243"/>
      <c r="F64" s="243"/>
      <c r="G64" s="243"/>
      <c r="H64" s="243"/>
    </row>
    <row r="65" spans="1:8" s="200" customFormat="1">
      <c r="A65" s="242"/>
      <c r="B65" s="243"/>
      <c r="C65" s="243"/>
      <c r="D65" s="243"/>
      <c r="E65" s="243"/>
      <c r="F65" s="243"/>
      <c r="G65" s="243"/>
      <c r="H65" s="243"/>
    </row>
    <row r="66" spans="1:8" s="200" customFormat="1">
      <c r="A66" s="242"/>
      <c r="B66" s="243"/>
      <c r="C66" s="243"/>
      <c r="D66" s="243"/>
      <c r="E66" s="243"/>
      <c r="F66" s="243"/>
      <c r="G66" s="243"/>
      <c r="H66" s="243"/>
    </row>
    <row r="67" spans="1:8" s="200" customFormat="1">
      <c r="A67" s="242"/>
      <c r="B67" s="243"/>
      <c r="C67" s="243"/>
      <c r="D67" s="243"/>
      <c r="E67" s="243"/>
      <c r="F67" s="243"/>
      <c r="G67" s="243"/>
      <c r="H67" s="243"/>
    </row>
    <row r="68" spans="1:8" s="200" customFormat="1">
      <c r="A68" s="242"/>
      <c r="B68" s="243"/>
      <c r="C68" s="243"/>
      <c r="D68" s="243"/>
      <c r="E68" s="243"/>
      <c r="F68" s="243"/>
      <c r="G68" s="243"/>
      <c r="H68" s="243"/>
    </row>
    <row r="69" spans="1:8" s="200" customFormat="1">
      <c r="A69" s="242"/>
      <c r="B69" s="243"/>
      <c r="C69" s="243"/>
      <c r="D69" s="243"/>
      <c r="E69" s="243"/>
      <c r="F69" s="243"/>
      <c r="G69" s="243"/>
      <c r="H69" s="243"/>
    </row>
    <row r="70" spans="1:8" s="200" customFormat="1">
      <c r="A70" s="242"/>
      <c r="B70" s="243"/>
      <c r="C70" s="243"/>
      <c r="D70" s="243"/>
      <c r="E70" s="243"/>
      <c r="F70" s="243"/>
      <c r="G70" s="243"/>
      <c r="H70" s="243"/>
    </row>
    <row r="71" spans="1:8" s="200" customFormat="1">
      <c r="A71" s="242"/>
      <c r="B71" s="243"/>
      <c r="C71" s="243"/>
      <c r="D71" s="243"/>
      <c r="E71" s="243"/>
      <c r="F71" s="243"/>
      <c r="G71" s="243"/>
      <c r="H71" s="243"/>
    </row>
    <row r="72" spans="1:8" s="200" customFormat="1">
      <c r="A72" s="242"/>
      <c r="B72" s="243"/>
      <c r="C72" s="243"/>
      <c r="D72" s="243"/>
      <c r="E72" s="243"/>
      <c r="F72" s="243"/>
      <c r="G72" s="243"/>
      <c r="H72" s="243"/>
    </row>
    <row r="73" spans="1:8" s="200" customFormat="1">
      <c r="A73" s="242"/>
      <c r="B73" s="243"/>
      <c r="C73" s="243"/>
      <c r="D73" s="243"/>
      <c r="E73" s="243"/>
      <c r="F73" s="243"/>
      <c r="G73" s="243"/>
      <c r="H73" s="243"/>
    </row>
    <row r="74" spans="1:8" s="200" customFormat="1">
      <c r="A74" s="242"/>
      <c r="B74" s="243"/>
      <c r="C74" s="243"/>
      <c r="D74" s="243"/>
      <c r="E74" s="243"/>
      <c r="F74" s="243"/>
      <c r="G74" s="243"/>
      <c r="H74" s="243"/>
    </row>
    <row r="75" spans="1:8" s="200" customFormat="1">
      <c r="A75" s="242"/>
      <c r="B75" s="243"/>
      <c r="C75" s="243"/>
      <c r="D75" s="243"/>
      <c r="E75" s="243"/>
      <c r="F75" s="243"/>
      <c r="G75" s="243"/>
      <c r="H75" s="243"/>
    </row>
    <row r="76" spans="1:8" s="200" customFormat="1">
      <c r="A76" s="242"/>
      <c r="B76" s="243"/>
      <c r="C76" s="243"/>
      <c r="D76" s="243"/>
      <c r="E76" s="243"/>
      <c r="F76" s="243"/>
      <c r="G76" s="243"/>
      <c r="H76" s="243"/>
    </row>
    <row r="77" spans="1:8" s="200" customFormat="1">
      <c r="A77" s="242"/>
      <c r="B77" s="243"/>
      <c r="C77" s="243"/>
      <c r="D77" s="243"/>
      <c r="E77" s="243"/>
      <c r="F77" s="243"/>
      <c r="G77" s="243"/>
      <c r="H77" s="243"/>
    </row>
    <row r="78" spans="1:8" s="200" customFormat="1">
      <c r="A78" s="242"/>
      <c r="B78" s="243"/>
      <c r="C78" s="243"/>
      <c r="D78" s="243"/>
      <c r="E78" s="243"/>
      <c r="F78" s="243"/>
      <c r="G78" s="243"/>
      <c r="H78" s="243"/>
    </row>
    <row r="79" spans="1:8" s="200" customFormat="1">
      <c r="A79" s="242"/>
      <c r="B79" s="243"/>
      <c r="C79" s="243"/>
      <c r="D79" s="243"/>
      <c r="E79" s="243"/>
      <c r="F79" s="243"/>
      <c r="G79" s="243"/>
      <c r="H79" s="243"/>
    </row>
    <row r="80" spans="1:8" s="200" customFormat="1">
      <c r="A80" s="242"/>
      <c r="B80" s="243"/>
      <c r="C80" s="243"/>
      <c r="D80" s="243"/>
      <c r="E80" s="243"/>
      <c r="F80" s="243"/>
      <c r="G80" s="243"/>
      <c r="H80" s="243"/>
    </row>
    <row r="81" spans="1:8" s="200" customFormat="1">
      <c r="A81" s="242"/>
      <c r="B81" s="243"/>
      <c r="C81" s="243"/>
      <c r="D81" s="243"/>
      <c r="E81" s="243"/>
      <c r="F81" s="243"/>
      <c r="G81" s="243"/>
      <c r="H81" s="243"/>
    </row>
    <row r="82" spans="1:8" s="200" customFormat="1">
      <c r="A82" s="242"/>
      <c r="B82" s="243"/>
      <c r="C82" s="243"/>
      <c r="D82" s="243"/>
      <c r="E82" s="243"/>
      <c r="F82" s="243"/>
      <c r="G82" s="243"/>
      <c r="H82" s="243"/>
    </row>
    <row r="83" spans="1:8">
      <c r="A83" s="249"/>
      <c r="B83" s="250"/>
      <c r="C83" s="250"/>
      <c r="D83" s="250"/>
      <c r="E83" s="250"/>
      <c r="F83" s="250"/>
      <c r="G83" s="250"/>
      <c r="H83" s="250"/>
    </row>
    <row r="84" spans="1:8">
      <c r="A84" s="249"/>
      <c r="B84" s="250"/>
      <c r="C84" s="250"/>
      <c r="D84" s="250"/>
      <c r="E84" s="250"/>
      <c r="F84" s="250"/>
      <c r="G84" s="250"/>
      <c r="H84" s="250"/>
    </row>
    <row r="85" spans="1:8">
      <c r="A85" s="249"/>
      <c r="B85" s="250"/>
      <c r="C85" s="250"/>
      <c r="D85" s="250"/>
      <c r="E85" s="250"/>
      <c r="F85" s="250"/>
      <c r="G85" s="250"/>
      <c r="H85" s="250"/>
    </row>
    <row r="86" spans="1:8">
      <c r="A86" s="249"/>
      <c r="B86" s="250"/>
      <c r="C86" s="250"/>
      <c r="D86" s="250"/>
      <c r="E86" s="250"/>
      <c r="F86" s="250"/>
      <c r="G86" s="250"/>
      <c r="H86" s="250"/>
    </row>
    <row r="87" spans="1:8">
      <c r="A87" s="249"/>
      <c r="B87" s="250"/>
      <c r="C87" s="250"/>
      <c r="D87" s="250"/>
      <c r="E87" s="250"/>
      <c r="F87" s="250"/>
      <c r="G87" s="250"/>
      <c r="H87" s="250"/>
    </row>
    <row r="88" spans="1:8">
      <c r="A88" s="249"/>
      <c r="B88" s="250"/>
      <c r="C88" s="250"/>
      <c r="D88" s="250"/>
      <c r="E88" s="250"/>
      <c r="F88" s="250"/>
      <c r="G88" s="250"/>
      <c r="H88" s="250"/>
    </row>
    <row r="89" spans="1:8">
      <c r="A89" s="249"/>
      <c r="B89" s="250"/>
      <c r="C89" s="250"/>
      <c r="D89" s="250"/>
      <c r="E89" s="250"/>
      <c r="F89" s="250"/>
      <c r="G89" s="250"/>
      <c r="H89" s="250"/>
    </row>
    <row r="90" spans="1:8">
      <c r="A90" s="249"/>
      <c r="B90" s="250"/>
      <c r="C90" s="250"/>
      <c r="D90" s="250"/>
      <c r="E90" s="250"/>
      <c r="F90" s="250"/>
      <c r="G90" s="250"/>
      <c r="H90" s="250"/>
    </row>
    <row r="91" spans="1:8">
      <c r="A91" s="249"/>
      <c r="B91" s="250"/>
      <c r="C91" s="250"/>
      <c r="D91" s="250"/>
      <c r="E91" s="250"/>
      <c r="F91" s="250"/>
      <c r="G91" s="250"/>
      <c r="H91" s="250"/>
    </row>
    <row r="92" spans="1:8">
      <c r="A92" s="249"/>
      <c r="B92" s="250"/>
      <c r="C92" s="250"/>
      <c r="D92" s="250"/>
      <c r="E92" s="250"/>
      <c r="F92" s="250"/>
      <c r="G92" s="250"/>
      <c r="H92" s="250"/>
    </row>
    <row r="93" spans="1:8">
      <c r="A93" s="249"/>
      <c r="B93" s="250"/>
      <c r="C93" s="250"/>
      <c r="D93" s="250"/>
      <c r="E93" s="250"/>
      <c r="F93" s="250"/>
      <c r="G93" s="250"/>
      <c r="H93" s="250"/>
    </row>
    <row r="94" spans="1:8">
      <c r="A94" s="249"/>
      <c r="B94" s="250"/>
      <c r="C94" s="250"/>
      <c r="D94" s="250"/>
      <c r="E94" s="250"/>
      <c r="F94" s="250"/>
      <c r="G94" s="250"/>
      <c r="H94" s="250"/>
    </row>
    <row r="95" spans="1:8">
      <c r="A95" s="249"/>
      <c r="B95" s="250"/>
      <c r="C95" s="250"/>
      <c r="D95" s="250"/>
      <c r="E95" s="250"/>
      <c r="F95" s="250"/>
      <c r="G95" s="250"/>
      <c r="H95" s="250"/>
    </row>
    <row r="96" spans="1:8">
      <c r="A96" s="249"/>
      <c r="B96" s="250"/>
      <c r="C96" s="250"/>
      <c r="D96" s="250"/>
      <c r="E96" s="250"/>
      <c r="F96" s="250"/>
      <c r="G96" s="250"/>
      <c r="H96" s="250"/>
    </row>
    <row r="97" spans="1:8">
      <c r="A97" s="249"/>
      <c r="B97" s="250"/>
      <c r="C97" s="250"/>
      <c r="D97" s="250"/>
      <c r="E97" s="250"/>
      <c r="F97" s="250"/>
      <c r="G97" s="250"/>
      <c r="H97" s="250"/>
    </row>
    <row r="98" spans="1:8">
      <c r="A98" s="249"/>
      <c r="B98" s="250"/>
      <c r="C98" s="250"/>
      <c r="D98" s="250"/>
      <c r="E98" s="250"/>
      <c r="F98" s="250"/>
      <c r="G98" s="250"/>
      <c r="H98" s="250"/>
    </row>
    <row r="99" spans="1:8">
      <c r="A99" s="249"/>
      <c r="B99" s="250"/>
      <c r="C99" s="250"/>
      <c r="D99" s="250"/>
      <c r="E99" s="250"/>
      <c r="F99" s="250"/>
      <c r="G99" s="250"/>
      <c r="H99" s="250"/>
    </row>
    <row r="100" spans="1:8">
      <c r="A100" s="249"/>
      <c r="B100" s="250"/>
      <c r="C100" s="250"/>
      <c r="D100" s="250"/>
      <c r="E100" s="250"/>
      <c r="F100" s="250"/>
      <c r="G100" s="250"/>
      <c r="H100" s="250"/>
    </row>
    <row r="101" spans="1:8">
      <c r="A101" s="249"/>
      <c r="B101" s="250"/>
      <c r="C101" s="250"/>
      <c r="D101" s="250"/>
      <c r="E101" s="250"/>
      <c r="F101" s="250"/>
      <c r="G101" s="250"/>
      <c r="H101" s="250"/>
    </row>
    <row r="102" spans="1:8">
      <c r="A102" s="249"/>
      <c r="B102" s="250"/>
      <c r="C102" s="250"/>
      <c r="D102" s="250"/>
      <c r="E102" s="250"/>
      <c r="F102" s="250"/>
      <c r="G102" s="250"/>
      <c r="H102" s="250"/>
    </row>
    <row r="103" spans="1:8">
      <c r="A103" s="249"/>
      <c r="B103" s="250"/>
      <c r="C103" s="250"/>
      <c r="D103" s="250"/>
      <c r="E103" s="250"/>
      <c r="F103" s="250"/>
      <c r="G103" s="250"/>
      <c r="H103" s="250"/>
    </row>
    <row r="104" spans="1:8">
      <c r="A104" s="249"/>
      <c r="B104" s="250"/>
      <c r="C104" s="250"/>
      <c r="D104" s="250"/>
      <c r="E104" s="250"/>
      <c r="F104" s="250"/>
      <c r="G104" s="250"/>
      <c r="H104" s="250"/>
    </row>
    <row r="105" spans="1:8">
      <c r="A105" s="249"/>
      <c r="B105" s="250"/>
      <c r="C105" s="250"/>
      <c r="D105" s="250"/>
      <c r="E105" s="250"/>
      <c r="F105" s="250"/>
      <c r="G105" s="250"/>
      <c r="H105" s="250"/>
    </row>
    <row r="106" spans="1:8">
      <c r="A106" s="249"/>
      <c r="B106" s="250"/>
      <c r="C106" s="250"/>
      <c r="D106" s="250"/>
      <c r="E106" s="250"/>
      <c r="F106" s="250"/>
      <c r="G106" s="250"/>
      <c r="H106" s="250"/>
    </row>
    <row r="107" spans="1:8">
      <c r="A107" s="249"/>
      <c r="B107" s="250"/>
      <c r="C107" s="250"/>
      <c r="D107" s="250"/>
      <c r="E107" s="250"/>
      <c r="F107" s="250"/>
      <c r="G107" s="250"/>
      <c r="H107" s="250"/>
    </row>
    <row r="108" spans="1:8">
      <c r="A108" s="249"/>
      <c r="B108" s="250"/>
      <c r="C108" s="250"/>
      <c r="D108" s="250"/>
      <c r="E108" s="250"/>
      <c r="F108" s="250"/>
      <c r="G108" s="250"/>
      <c r="H108" s="250"/>
    </row>
    <row r="109" spans="1:8">
      <c r="A109" s="249"/>
      <c r="B109" s="250"/>
      <c r="C109" s="250"/>
      <c r="D109" s="250"/>
      <c r="E109" s="250"/>
      <c r="F109" s="250"/>
      <c r="G109" s="250"/>
      <c r="H109" s="250"/>
    </row>
    <row r="110" spans="1:8">
      <c r="A110" s="249"/>
      <c r="B110" s="250"/>
      <c r="C110" s="250"/>
      <c r="D110" s="250"/>
      <c r="E110" s="250"/>
      <c r="F110" s="250"/>
      <c r="G110" s="250"/>
      <c r="H110" s="250"/>
    </row>
    <row r="111" spans="1:8">
      <c r="A111" s="249"/>
      <c r="B111" s="250"/>
      <c r="C111" s="250"/>
      <c r="D111" s="250"/>
      <c r="E111" s="250"/>
      <c r="F111" s="250"/>
      <c r="G111" s="250"/>
      <c r="H111" s="250"/>
    </row>
    <row r="112" spans="1:8">
      <c r="A112" s="249"/>
      <c r="B112" s="250"/>
      <c r="C112" s="250"/>
      <c r="D112" s="250"/>
      <c r="E112" s="250"/>
      <c r="F112" s="250"/>
      <c r="G112" s="250"/>
      <c r="H112" s="250"/>
    </row>
    <row r="113" spans="1:8">
      <c r="A113" s="249"/>
      <c r="B113" s="250"/>
      <c r="C113" s="250"/>
      <c r="D113" s="250"/>
      <c r="E113" s="250"/>
      <c r="F113" s="250"/>
      <c r="G113" s="250"/>
      <c r="H113" s="250"/>
    </row>
    <row r="114" spans="1:8">
      <c r="A114" s="249"/>
      <c r="B114" s="250"/>
      <c r="C114" s="250"/>
      <c r="D114" s="250"/>
      <c r="E114" s="250"/>
      <c r="F114" s="250"/>
      <c r="G114" s="250"/>
      <c r="H114" s="250"/>
    </row>
    <row r="115" spans="1:8">
      <c r="A115" s="249"/>
      <c r="B115" s="250"/>
      <c r="C115" s="250"/>
      <c r="D115" s="250"/>
      <c r="E115" s="250"/>
      <c r="F115" s="250"/>
      <c r="G115" s="250"/>
      <c r="H115" s="250"/>
    </row>
    <row r="116" spans="1:8">
      <c r="A116" s="249"/>
      <c r="B116" s="250"/>
      <c r="C116" s="250"/>
      <c r="D116" s="250"/>
      <c r="E116" s="250"/>
      <c r="F116" s="250"/>
      <c r="G116" s="250"/>
      <c r="H116" s="250"/>
    </row>
    <row r="117" spans="1:8">
      <c r="A117" s="249"/>
      <c r="B117" s="250"/>
      <c r="C117" s="250"/>
      <c r="D117" s="250"/>
      <c r="E117" s="250"/>
      <c r="F117" s="250"/>
      <c r="G117" s="250"/>
      <c r="H117" s="250"/>
    </row>
    <row r="118" spans="1:8">
      <c r="A118" s="249"/>
      <c r="B118" s="250"/>
      <c r="C118" s="250"/>
      <c r="D118" s="250"/>
      <c r="E118" s="250"/>
      <c r="F118" s="250"/>
      <c r="G118" s="250"/>
      <c r="H118" s="250"/>
    </row>
    <row r="119" spans="1:8">
      <c r="A119" s="249"/>
      <c r="B119" s="250"/>
      <c r="C119" s="250"/>
      <c r="D119" s="250"/>
      <c r="E119" s="250"/>
      <c r="F119" s="250"/>
      <c r="G119" s="250"/>
      <c r="H119" s="250"/>
    </row>
    <row r="120" spans="1:8">
      <c r="A120" s="249"/>
      <c r="B120" s="250"/>
      <c r="C120" s="250"/>
      <c r="D120" s="250"/>
      <c r="E120" s="250"/>
      <c r="F120" s="250"/>
      <c r="G120" s="250"/>
      <c r="H120" s="250"/>
    </row>
    <row r="121" spans="1:8">
      <c r="A121" s="249"/>
      <c r="B121" s="250"/>
      <c r="C121" s="250"/>
      <c r="D121" s="250"/>
      <c r="E121" s="250"/>
      <c r="F121" s="250"/>
      <c r="G121" s="250"/>
      <c r="H121" s="250"/>
    </row>
    <row r="122" spans="1:8">
      <c r="A122" s="249"/>
      <c r="B122" s="250"/>
      <c r="C122" s="250"/>
      <c r="D122" s="250"/>
      <c r="E122" s="250"/>
      <c r="F122" s="250"/>
      <c r="G122" s="250"/>
      <c r="H122" s="250"/>
    </row>
    <row r="123" spans="1:8">
      <c r="A123" s="249"/>
      <c r="B123" s="250"/>
      <c r="C123" s="250"/>
      <c r="D123" s="250"/>
      <c r="E123" s="250"/>
      <c r="F123" s="250"/>
      <c r="G123" s="250"/>
      <c r="H123" s="250"/>
    </row>
    <row r="124" spans="1:8">
      <c r="A124" s="249"/>
      <c r="B124" s="250"/>
      <c r="C124" s="250"/>
      <c r="D124" s="250"/>
      <c r="E124" s="250"/>
      <c r="F124" s="250"/>
      <c r="G124" s="250"/>
      <c r="H124" s="250"/>
    </row>
    <row r="125" spans="1:8">
      <c r="A125" s="249"/>
      <c r="B125" s="250"/>
      <c r="C125" s="250"/>
      <c r="D125" s="250"/>
      <c r="E125" s="250"/>
      <c r="F125" s="250"/>
      <c r="G125" s="250"/>
      <c r="H125" s="250"/>
    </row>
    <row r="126" spans="1:8">
      <c r="A126" s="249"/>
      <c r="B126" s="250"/>
      <c r="C126" s="250"/>
      <c r="D126" s="250"/>
      <c r="E126" s="250"/>
      <c r="F126" s="250"/>
      <c r="G126" s="250"/>
      <c r="H126" s="250"/>
    </row>
    <row r="127" spans="1:8">
      <c r="A127" s="249"/>
      <c r="B127" s="250"/>
      <c r="C127" s="250"/>
      <c r="D127" s="250"/>
      <c r="E127" s="250"/>
      <c r="F127" s="250"/>
      <c r="G127" s="250"/>
      <c r="H127" s="250"/>
    </row>
    <row r="128" spans="1:8">
      <c r="A128" s="249"/>
      <c r="B128" s="250"/>
      <c r="C128" s="250"/>
      <c r="D128" s="250"/>
      <c r="E128" s="250"/>
      <c r="F128" s="250"/>
      <c r="G128" s="250"/>
      <c r="H128" s="250"/>
    </row>
    <row r="129" spans="1:8">
      <c r="A129" s="249"/>
      <c r="B129" s="250"/>
      <c r="C129" s="250"/>
      <c r="D129" s="250"/>
      <c r="E129" s="250"/>
      <c r="F129" s="250"/>
      <c r="G129" s="250"/>
      <c r="H129" s="250"/>
    </row>
    <row r="130" spans="1:8">
      <c r="A130" s="249"/>
      <c r="B130" s="250"/>
      <c r="C130" s="250"/>
      <c r="D130" s="250"/>
      <c r="E130" s="250"/>
      <c r="F130" s="250"/>
      <c r="G130" s="250"/>
      <c r="H130" s="250"/>
    </row>
    <row r="131" spans="1:8">
      <c r="A131" s="249"/>
      <c r="B131" s="250"/>
      <c r="C131" s="250"/>
      <c r="D131" s="250"/>
      <c r="E131" s="250"/>
      <c r="F131" s="250"/>
      <c r="G131" s="250"/>
      <c r="H131" s="250"/>
    </row>
    <row r="132" spans="1:8">
      <c r="A132" s="249"/>
      <c r="B132" s="250"/>
      <c r="C132" s="250"/>
      <c r="D132" s="250"/>
      <c r="E132" s="250"/>
      <c r="F132" s="250"/>
      <c r="G132" s="250"/>
      <c r="H132" s="250"/>
    </row>
    <row r="133" spans="1:8">
      <c r="A133" s="249"/>
      <c r="B133" s="250"/>
      <c r="C133" s="250"/>
      <c r="D133" s="250"/>
      <c r="E133" s="250"/>
      <c r="F133" s="250"/>
      <c r="G133" s="250"/>
      <c r="H133" s="250"/>
    </row>
    <row r="134" spans="1:8">
      <c r="A134" s="249"/>
      <c r="B134" s="250"/>
      <c r="C134" s="250"/>
      <c r="D134" s="250"/>
      <c r="E134" s="250"/>
      <c r="F134" s="250"/>
      <c r="G134" s="250"/>
      <c r="H134" s="250"/>
    </row>
    <row r="135" spans="1:8">
      <c r="A135" s="249"/>
      <c r="B135" s="250"/>
      <c r="C135" s="250"/>
      <c r="D135" s="250"/>
      <c r="E135" s="250"/>
      <c r="F135" s="250"/>
      <c r="G135" s="250"/>
      <c r="H135" s="250"/>
    </row>
    <row r="136" spans="1:8">
      <c r="A136" s="249"/>
      <c r="B136" s="250"/>
      <c r="C136" s="250"/>
      <c r="D136" s="250"/>
      <c r="E136" s="250"/>
      <c r="F136" s="250"/>
      <c r="G136" s="250"/>
      <c r="H136" s="250"/>
    </row>
    <row r="137" spans="1:8">
      <c r="A137" s="249"/>
      <c r="B137" s="250"/>
      <c r="C137" s="250"/>
      <c r="D137" s="250"/>
      <c r="E137" s="250"/>
      <c r="F137" s="250"/>
      <c r="G137" s="250"/>
      <c r="H137" s="250"/>
    </row>
    <row r="138" spans="1:8">
      <c r="A138" s="249"/>
      <c r="B138" s="250"/>
      <c r="C138" s="250"/>
      <c r="D138" s="250"/>
      <c r="E138" s="250"/>
      <c r="F138" s="250"/>
      <c r="G138" s="250"/>
      <c r="H138" s="250"/>
    </row>
    <row r="139" spans="1:8">
      <c r="A139" s="249"/>
      <c r="B139" s="250"/>
      <c r="C139" s="250"/>
      <c r="D139" s="250"/>
      <c r="E139" s="250"/>
      <c r="F139" s="250"/>
      <c r="G139" s="250"/>
      <c r="H139" s="250"/>
    </row>
    <row r="140" spans="1:8">
      <c r="A140" s="249"/>
      <c r="B140" s="250"/>
      <c r="C140" s="250"/>
      <c r="D140" s="250"/>
      <c r="E140" s="250"/>
      <c r="F140" s="250"/>
      <c r="G140" s="250"/>
      <c r="H140" s="250"/>
    </row>
    <row r="141" spans="1:8">
      <c r="A141" s="249"/>
      <c r="B141" s="250"/>
      <c r="C141" s="250"/>
      <c r="D141" s="250"/>
      <c r="E141" s="250"/>
      <c r="F141" s="250"/>
      <c r="G141" s="250"/>
      <c r="H141" s="250"/>
    </row>
    <row r="142" spans="1:8">
      <c r="A142" s="249"/>
      <c r="B142" s="250"/>
      <c r="C142" s="250"/>
      <c r="D142" s="250"/>
      <c r="E142" s="250"/>
      <c r="F142" s="250"/>
      <c r="G142" s="250"/>
      <c r="H142" s="250"/>
    </row>
    <row r="143" spans="1:8">
      <c r="A143" s="249"/>
      <c r="B143" s="250"/>
      <c r="C143" s="250"/>
      <c r="D143" s="250"/>
      <c r="E143" s="250"/>
      <c r="F143" s="250"/>
      <c r="G143" s="250"/>
      <c r="H143" s="250"/>
    </row>
    <row r="144" spans="1:8">
      <c r="A144" s="249"/>
      <c r="B144" s="250"/>
      <c r="C144" s="250"/>
      <c r="D144" s="250"/>
      <c r="E144" s="250"/>
      <c r="F144" s="250"/>
      <c r="G144" s="250"/>
      <c r="H144" s="250"/>
    </row>
    <row r="145" spans="1:8">
      <c r="A145" s="249"/>
      <c r="B145" s="250"/>
      <c r="C145" s="250"/>
      <c r="D145" s="250"/>
      <c r="E145" s="250"/>
      <c r="F145" s="250"/>
      <c r="G145" s="250"/>
      <c r="H145" s="250"/>
    </row>
    <row r="146" spans="1:8">
      <c r="A146" s="249"/>
      <c r="B146" s="250"/>
      <c r="C146" s="250"/>
      <c r="D146" s="250"/>
      <c r="E146" s="250"/>
      <c r="F146" s="250"/>
      <c r="G146" s="250"/>
      <c r="H146" s="250"/>
    </row>
    <row r="147" spans="1:8">
      <c r="A147" s="249"/>
      <c r="B147" s="250"/>
      <c r="C147" s="250"/>
      <c r="D147" s="250"/>
      <c r="E147" s="250"/>
      <c r="F147" s="250"/>
      <c r="G147" s="250"/>
      <c r="H147" s="250"/>
    </row>
    <row r="148" spans="1:8">
      <c r="A148" s="249"/>
      <c r="B148" s="250"/>
      <c r="C148" s="250"/>
      <c r="D148" s="250"/>
      <c r="E148" s="250"/>
      <c r="F148" s="250"/>
      <c r="G148" s="250"/>
      <c r="H148" s="250"/>
    </row>
    <row r="149" spans="1:8">
      <c r="A149" s="249"/>
      <c r="B149" s="250"/>
      <c r="C149" s="250"/>
      <c r="D149" s="250"/>
      <c r="E149" s="250"/>
      <c r="F149" s="250"/>
      <c r="G149" s="250"/>
      <c r="H149" s="250"/>
    </row>
    <row r="150" spans="1:8">
      <c r="A150" s="249"/>
      <c r="B150" s="250"/>
      <c r="C150" s="250"/>
      <c r="D150" s="250"/>
      <c r="E150" s="250"/>
      <c r="F150" s="250"/>
      <c r="G150" s="250"/>
      <c r="H150" s="250"/>
    </row>
    <row r="151" spans="1:8">
      <c r="A151" s="249"/>
      <c r="B151" s="250"/>
      <c r="C151" s="250"/>
      <c r="D151" s="250"/>
      <c r="E151" s="250"/>
      <c r="F151" s="250"/>
      <c r="G151" s="250"/>
      <c r="H151" s="250"/>
    </row>
    <row r="152" spans="1:8">
      <c r="A152" s="249"/>
      <c r="B152" s="250"/>
      <c r="C152" s="250"/>
      <c r="D152" s="250"/>
      <c r="E152" s="250"/>
      <c r="F152" s="250"/>
      <c r="G152" s="250"/>
      <c r="H152" s="250"/>
    </row>
    <row r="153" spans="1:8">
      <c r="A153" s="249"/>
      <c r="B153" s="250"/>
      <c r="C153" s="250"/>
      <c r="D153" s="250"/>
      <c r="E153" s="250"/>
      <c r="F153" s="250"/>
      <c r="G153" s="250"/>
      <c r="H153" s="250"/>
    </row>
    <row r="154" spans="1:8">
      <c r="A154" s="249"/>
      <c r="B154" s="250"/>
      <c r="C154" s="250"/>
      <c r="D154" s="250"/>
      <c r="E154" s="250"/>
      <c r="F154" s="250"/>
      <c r="G154" s="250"/>
      <c r="H154" s="250"/>
    </row>
    <row r="155" spans="1:8">
      <c r="A155" s="249"/>
      <c r="B155" s="250"/>
      <c r="C155" s="250"/>
      <c r="D155" s="250"/>
      <c r="E155" s="250"/>
      <c r="F155" s="250"/>
      <c r="G155" s="250"/>
      <c r="H155" s="250"/>
    </row>
    <row r="156" spans="1:8">
      <c r="A156" s="249"/>
      <c r="B156" s="250"/>
      <c r="C156" s="250"/>
      <c r="D156" s="250"/>
      <c r="E156" s="250"/>
      <c r="F156" s="250"/>
      <c r="G156" s="250"/>
      <c r="H156" s="250"/>
    </row>
    <row r="157" spans="1:8">
      <c r="A157" s="249"/>
      <c r="B157" s="250"/>
      <c r="C157" s="250"/>
      <c r="D157" s="250"/>
      <c r="E157" s="250"/>
      <c r="F157" s="250"/>
      <c r="G157" s="250"/>
      <c r="H157" s="250"/>
    </row>
    <row r="158" spans="1:8">
      <c r="A158" s="249"/>
      <c r="B158" s="250"/>
      <c r="C158" s="250"/>
      <c r="D158" s="250"/>
      <c r="E158" s="250"/>
      <c r="F158" s="250"/>
      <c r="G158" s="250"/>
      <c r="H158" s="250"/>
    </row>
    <row r="159" spans="1:8">
      <c r="A159" s="249"/>
      <c r="B159" s="250"/>
      <c r="C159" s="250"/>
      <c r="D159" s="250"/>
      <c r="E159" s="250"/>
      <c r="F159" s="250"/>
      <c r="G159" s="250"/>
      <c r="H159" s="250"/>
    </row>
    <row r="160" spans="1:8">
      <c r="A160" s="249"/>
      <c r="B160" s="250"/>
      <c r="C160" s="250"/>
      <c r="D160" s="250"/>
      <c r="E160" s="250"/>
      <c r="F160" s="250"/>
      <c r="G160" s="250"/>
      <c r="H160" s="250"/>
    </row>
    <row r="161" spans="1:8">
      <c r="A161" s="249"/>
      <c r="B161" s="250"/>
      <c r="C161" s="250"/>
      <c r="D161" s="250"/>
      <c r="E161" s="250"/>
      <c r="F161" s="250"/>
      <c r="G161" s="250"/>
      <c r="H161" s="250"/>
    </row>
    <row r="162" spans="1:8">
      <c r="A162" s="249"/>
      <c r="B162" s="250"/>
      <c r="C162" s="250"/>
      <c r="D162" s="250"/>
      <c r="E162" s="250"/>
      <c r="F162" s="250"/>
      <c r="G162" s="250"/>
      <c r="H162" s="250"/>
    </row>
    <row r="163" spans="1:8">
      <c r="A163" s="249"/>
      <c r="B163" s="250"/>
      <c r="C163" s="250"/>
      <c r="D163" s="250"/>
      <c r="E163" s="250"/>
      <c r="F163" s="250"/>
      <c r="G163" s="250"/>
      <c r="H163" s="250"/>
    </row>
    <row r="164" spans="1:8">
      <c r="A164" s="249"/>
      <c r="B164" s="250"/>
      <c r="C164" s="250"/>
      <c r="D164" s="250"/>
      <c r="E164" s="250"/>
      <c r="F164" s="250"/>
      <c r="G164" s="250"/>
      <c r="H164" s="250"/>
    </row>
    <row r="165" spans="1:8">
      <c r="A165" s="249"/>
      <c r="B165" s="250"/>
      <c r="C165" s="250"/>
      <c r="D165" s="250"/>
      <c r="E165" s="250"/>
      <c r="F165" s="250"/>
      <c r="G165" s="250"/>
      <c r="H165" s="250"/>
    </row>
    <row r="166" spans="1:8">
      <c r="A166" s="249"/>
      <c r="B166" s="250"/>
      <c r="C166" s="250"/>
      <c r="D166" s="250"/>
      <c r="E166" s="250"/>
      <c r="F166" s="250"/>
      <c r="G166" s="250"/>
      <c r="H166" s="250"/>
    </row>
    <row r="167" spans="1:8">
      <c r="A167" s="249"/>
      <c r="B167" s="250"/>
      <c r="C167" s="250"/>
      <c r="D167" s="250"/>
      <c r="E167" s="250"/>
      <c r="F167" s="250"/>
      <c r="G167" s="250"/>
      <c r="H167" s="250"/>
    </row>
    <row r="168" spans="1:8">
      <c r="A168" s="249"/>
      <c r="B168" s="250"/>
      <c r="C168" s="250"/>
      <c r="D168" s="250"/>
      <c r="E168" s="250"/>
      <c r="F168" s="250"/>
      <c r="G168" s="250"/>
      <c r="H168" s="250"/>
    </row>
    <row r="169" spans="1:8">
      <c r="A169" s="249"/>
      <c r="B169" s="250"/>
      <c r="C169" s="250"/>
      <c r="D169" s="250"/>
      <c r="E169" s="250"/>
      <c r="F169" s="250"/>
      <c r="G169" s="250"/>
      <c r="H169" s="250"/>
    </row>
    <row r="170" spans="1:8">
      <c r="A170" s="249"/>
      <c r="B170" s="250"/>
      <c r="C170" s="250"/>
      <c r="D170" s="250"/>
      <c r="E170" s="250"/>
      <c r="F170" s="250"/>
      <c r="G170" s="250"/>
      <c r="H170" s="250"/>
    </row>
    <row r="171" spans="1:8">
      <c r="A171" s="249"/>
      <c r="B171" s="250"/>
      <c r="C171" s="250"/>
      <c r="D171" s="250"/>
      <c r="E171" s="250"/>
      <c r="F171" s="250"/>
      <c r="G171" s="250"/>
      <c r="H171" s="250"/>
    </row>
    <row r="172" spans="1:8">
      <c r="A172" s="249"/>
      <c r="B172" s="250"/>
      <c r="C172" s="250"/>
      <c r="D172" s="250"/>
      <c r="E172" s="250"/>
      <c r="F172" s="250"/>
      <c r="G172" s="250"/>
      <c r="H172" s="250"/>
    </row>
    <row r="173" spans="1:8">
      <c r="A173" s="249"/>
      <c r="B173" s="250"/>
      <c r="C173" s="250"/>
      <c r="D173" s="250"/>
      <c r="E173" s="250"/>
      <c r="F173" s="250"/>
      <c r="G173" s="250"/>
      <c r="H173" s="250"/>
    </row>
    <row r="174" spans="1:8">
      <c r="A174" s="249"/>
      <c r="B174" s="250"/>
      <c r="C174" s="250"/>
      <c r="D174" s="250"/>
      <c r="E174" s="250"/>
      <c r="F174" s="250"/>
      <c r="G174" s="250"/>
      <c r="H174" s="250"/>
    </row>
    <row r="175" spans="1:8">
      <c r="A175" s="249"/>
      <c r="B175" s="250"/>
      <c r="C175" s="250"/>
      <c r="D175" s="250"/>
      <c r="E175" s="250"/>
      <c r="F175" s="250"/>
      <c r="G175" s="250"/>
      <c r="H175" s="250"/>
    </row>
    <row r="176" spans="1:8">
      <c r="A176" s="249"/>
      <c r="B176" s="250"/>
      <c r="C176" s="250"/>
      <c r="D176" s="250"/>
      <c r="E176" s="250"/>
      <c r="F176" s="250"/>
      <c r="G176" s="250"/>
      <c r="H176" s="250"/>
    </row>
    <row r="177" spans="1:8">
      <c r="A177" s="249"/>
      <c r="B177" s="250"/>
      <c r="C177" s="250"/>
      <c r="D177" s="250"/>
      <c r="E177" s="250"/>
      <c r="F177" s="250"/>
      <c r="G177" s="250"/>
      <c r="H177" s="250"/>
    </row>
    <row r="178" spans="1:8">
      <c r="A178" s="249"/>
      <c r="B178" s="250"/>
      <c r="C178" s="250"/>
      <c r="D178" s="250"/>
      <c r="E178" s="250"/>
      <c r="F178" s="250"/>
      <c r="G178" s="250"/>
      <c r="H178" s="250"/>
    </row>
    <row r="179" spans="1:8">
      <c r="A179" s="249"/>
      <c r="B179" s="250"/>
      <c r="C179" s="250"/>
      <c r="D179" s="250"/>
      <c r="E179" s="250"/>
      <c r="F179" s="250"/>
      <c r="G179" s="250"/>
      <c r="H179" s="250"/>
    </row>
    <row r="180" spans="1:8">
      <c r="A180" s="249"/>
      <c r="B180" s="250"/>
      <c r="C180" s="250"/>
      <c r="D180" s="250"/>
      <c r="E180" s="250"/>
      <c r="F180" s="250"/>
      <c r="G180" s="250"/>
      <c r="H180" s="250"/>
    </row>
    <row r="181" spans="1:8">
      <c r="A181" s="249"/>
      <c r="B181" s="250"/>
      <c r="C181" s="250"/>
      <c r="D181" s="250"/>
      <c r="E181" s="250"/>
      <c r="F181" s="250"/>
      <c r="G181" s="250"/>
      <c r="H181" s="250"/>
    </row>
    <row r="182" spans="1:8">
      <c r="A182" s="249"/>
      <c r="B182" s="250"/>
      <c r="C182" s="250"/>
      <c r="D182" s="250"/>
      <c r="E182" s="250"/>
      <c r="F182" s="250"/>
      <c r="G182" s="250"/>
      <c r="H182" s="250"/>
    </row>
    <row r="183" spans="1:8">
      <c r="A183" s="249"/>
      <c r="B183" s="250"/>
      <c r="C183" s="250"/>
      <c r="D183" s="250"/>
      <c r="E183" s="250"/>
      <c r="F183" s="250"/>
      <c r="G183" s="250"/>
      <c r="H183" s="250"/>
    </row>
    <row r="184" spans="1:8">
      <c r="A184" s="249"/>
      <c r="B184" s="250"/>
      <c r="C184" s="250"/>
      <c r="D184" s="250"/>
      <c r="E184" s="250"/>
      <c r="F184" s="250"/>
      <c r="G184" s="250"/>
      <c r="H184" s="250"/>
    </row>
    <row r="185" spans="1:8">
      <c r="A185" s="249"/>
      <c r="B185" s="250"/>
      <c r="C185" s="250"/>
      <c r="D185" s="250"/>
      <c r="E185" s="250"/>
      <c r="F185" s="250"/>
      <c r="G185" s="250"/>
      <c r="H185" s="250"/>
    </row>
    <row r="186" spans="1:8">
      <c r="A186" s="249"/>
      <c r="B186" s="250"/>
      <c r="C186" s="250"/>
      <c r="D186" s="250"/>
      <c r="E186" s="250"/>
      <c r="F186" s="250"/>
      <c r="G186" s="250"/>
      <c r="H186" s="250"/>
    </row>
    <row r="187" spans="1:8">
      <c r="A187" s="249"/>
      <c r="B187" s="250"/>
      <c r="C187" s="250"/>
      <c r="D187" s="250"/>
      <c r="E187" s="250"/>
      <c r="F187" s="250"/>
      <c r="G187" s="250"/>
      <c r="H187" s="250"/>
    </row>
    <row r="188" spans="1:8">
      <c r="A188" s="249"/>
      <c r="B188" s="250"/>
      <c r="C188" s="250"/>
      <c r="D188" s="250"/>
      <c r="E188" s="250"/>
      <c r="F188" s="250"/>
      <c r="G188" s="250"/>
      <c r="H188" s="250"/>
    </row>
    <row r="189" spans="1:8">
      <c r="A189" s="249"/>
      <c r="B189" s="250"/>
      <c r="C189" s="250"/>
      <c r="D189" s="250"/>
      <c r="E189" s="250"/>
      <c r="F189" s="250"/>
      <c r="G189" s="250"/>
      <c r="H189" s="250"/>
    </row>
    <row r="190" spans="1:8">
      <c r="A190" s="249"/>
      <c r="B190" s="250"/>
      <c r="C190" s="250"/>
      <c r="D190" s="250"/>
      <c r="E190" s="250"/>
      <c r="F190" s="250"/>
      <c r="G190" s="250"/>
      <c r="H190" s="250"/>
    </row>
    <row r="191" spans="1:8">
      <c r="A191" s="249"/>
      <c r="B191" s="250"/>
      <c r="C191" s="250"/>
      <c r="D191" s="250"/>
      <c r="E191" s="250"/>
      <c r="F191" s="250"/>
      <c r="G191" s="250"/>
      <c r="H191" s="250"/>
    </row>
    <row r="192" spans="1:8">
      <c r="A192" s="249"/>
      <c r="B192" s="250"/>
      <c r="C192" s="250"/>
      <c r="D192" s="250"/>
      <c r="E192" s="250"/>
      <c r="F192" s="250"/>
      <c r="G192" s="250"/>
      <c r="H192" s="250"/>
    </row>
    <row r="193" spans="1:8">
      <c r="A193" s="249"/>
      <c r="B193" s="250"/>
      <c r="C193" s="250"/>
      <c r="D193" s="250"/>
      <c r="E193" s="250"/>
      <c r="F193" s="250"/>
      <c r="G193" s="250"/>
      <c r="H193" s="250"/>
    </row>
    <row r="194" spans="1:8">
      <c r="A194" s="249"/>
      <c r="B194" s="250"/>
      <c r="C194" s="250"/>
      <c r="D194" s="250"/>
      <c r="E194" s="250"/>
      <c r="F194" s="250"/>
      <c r="G194" s="250"/>
      <c r="H194" s="250"/>
    </row>
    <row r="195" spans="1:8">
      <c r="A195" s="249"/>
      <c r="B195" s="250"/>
      <c r="C195" s="250"/>
      <c r="D195" s="250"/>
      <c r="E195" s="250"/>
      <c r="F195" s="250"/>
      <c r="G195" s="250"/>
      <c r="H195" s="250"/>
    </row>
    <row r="196" spans="1:8">
      <c r="A196" s="249"/>
      <c r="B196" s="250"/>
      <c r="C196" s="250"/>
      <c r="D196" s="250"/>
      <c r="E196" s="250"/>
      <c r="F196" s="250"/>
      <c r="G196" s="250"/>
      <c r="H196" s="250"/>
    </row>
    <row r="197" spans="1:8">
      <c r="A197" s="249"/>
      <c r="B197" s="250"/>
      <c r="C197" s="250"/>
      <c r="D197" s="250"/>
      <c r="E197" s="250"/>
      <c r="F197" s="250"/>
      <c r="G197" s="250"/>
      <c r="H197" s="250"/>
    </row>
    <row r="198" spans="1:8">
      <c r="A198" s="249"/>
      <c r="B198" s="250"/>
      <c r="C198" s="250"/>
      <c r="D198" s="250"/>
      <c r="E198" s="250"/>
      <c r="F198" s="250"/>
      <c r="G198" s="250"/>
      <c r="H198" s="250"/>
    </row>
    <row r="199" spans="1:8">
      <c r="A199" s="249"/>
      <c r="B199" s="250"/>
      <c r="C199" s="250"/>
      <c r="D199" s="250"/>
      <c r="E199" s="250"/>
      <c r="F199" s="250"/>
      <c r="G199" s="250"/>
      <c r="H199" s="250"/>
    </row>
    <row r="200" spans="1:8">
      <c r="A200" s="249"/>
      <c r="B200" s="250"/>
      <c r="C200" s="250"/>
      <c r="D200" s="250"/>
      <c r="E200" s="250"/>
      <c r="F200" s="250"/>
      <c r="G200" s="250"/>
      <c r="H200" s="250"/>
    </row>
    <row r="201" spans="1:8">
      <c r="A201" s="249"/>
      <c r="B201" s="250"/>
      <c r="C201" s="250"/>
      <c r="D201" s="250"/>
      <c r="E201" s="250"/>
      <c r="F201" s="250"/>
      <c r="G201" s="250"/>
      <c r="H201" s="250"/>
    </row>
    <row r="202" spans="1:8">
      <c r="A202" s="249"/>
      <c r="B202" s="250"/>
      <c r="C202" s="250"/>
      <c r="D202" s="250"/>
      <c r="E202" s="250"/>
      <c r="F202" s="250"/>
      <c r="G202" s="250"/>
      <c r="H202" s="250"/>
    </row>
    <row r="203" spans="1:8">
      <c r="A203" s="249"/>
      <c r="B203" s="250"/>
      <c r="C203" s="250"/>
      <c r="D203" s="250"/>
      <c r="E203" s="250"/>
      <c r="F203" s="250"/>
      <c r="G203" s="250"/>
      <c r="H203" s="250"/>
    </row>
    <row r="204" spans="1:8">
      <c r="A204" s="249"/>
      <c r="B204" s="250"/>
      <c r="C204" s="250"/>
      <c r="D204" s="250"/>
      <c r="E204" s="250"/>
      <c r="F204" s="250"/>
      <c r="G204" s="250"/>
      <c r="H204" s="250"/>
    </row>
    <row r="205" spans="1:8">
      <c r="A205" s="249"/>
      <c r="B205" s="250"/>
      <c r="C205" s="250"/>
      <c r="D205" s="250"/>
      <c r="E205" s="250"/>
      <c r="F205" s="250"/>
      <c r="G205" s="250"/>
      <c r="H205" s="250"/>
    </row>
    <row r="206" spans="1:8">
      <c r="A206" s="249"/>
      <c r="B206" s="250"/>
      <c r="C206" s="250"/>
      <c r="D206" s="250"/>
      <c r="E206" s="250"/>
      <c r="F206" s="250"/>
      <c r="G206" s="250"/>
      <c r="H206" s="250"/>
    </row>
    <row r="207" spans="1:8">
      <c r="A207" s="249"/>
      <c r="B207" s="250"/>
      <c r="C207" s="250"/>
      <c r="D207" s="250"/>
      <c r="E207" s="250"/>
      <c r="F207" s="250"/>
      <c r="G207" s="250"/>
      <c r="H207" s="250"/>
    </row>
    <row r="208" spans="1:8">
      <c r="A208" s="249"/>
      <c r="B208" s="250"/>
      <c r="C208" s="250"/>
      <c r="D208" s="250"/>
      <c r="E208" s="250"/>
      <c r="F208" s="250"/>
      <c r="G208" s="250"/>
      <c r="H208" s="250"/>
    </row>
    <row r="209" spans="1:8">
      <c r="A209" s="249"/>
      <c r="B209" s="250"/>
      <c r="C209" s="250"/>
      <c r="D209" s="250"/>
      <c r="E209" s="250"/>
      <c r="F209" s="250"/>
      <c r="G209" s="250"/>
      <c r="H209" s="250"/>
    </row>
    <row r="210" spans="1:8">
      <c r="A210" s="249"/>
      <c r="B210" s="250"/>
      <c r="C210" s="250"/>
      <c r="D210" s="250"/>
      <c r="E210" s="250"/>
      <c r="F210" s="250"/>
      <c r="G210" s="250"/>
      <c r="H210" s="250"/>
    </row>
    <row r="211" spans="1:8">
      <c r="A211" s="249"/>
      <c r="B211" s="250"/>
      <c r="C211" s="250"/>
      <c r="D211" s="250"/>
      <c r="E211" s="250"/>
      <c r="F211" s="250"/>
      <c r="G211" s="250"/>
      <c r="H211" s="250"/>
    </row>
    <row r="212" spans="1:8">
      <c r="A212" s="249"/>
      <c r="B212" s="250"/>
      <c r="C212" s="250"/>
      <c r="D212" s="250"/>
      <c r="E212" s="250"/>
      <c r="F212" s="250"/>
      <c r="G212" s="250"/>
      <c r="H212" s="250"/>
    </row>
    <row r="213" spans="1:8">
      <c r="A213" s="249"/>
      <c r="B213" s="250"/>
      <c r="C213" s="250"/>
      <c r="D213" s="250"/>
      <c r="E213" s="250"/>
      <c r="F213" s="250"/>
      <c r="G213" s="250"/>
      <c r="H213" s="250"/>
    </row>
    <row r="214" spans="1:8">
      <c r="A214" s="249"/>
      <c r="B214" s="250"/>
      <c r="C214" s="250"/>
      <c r="D214" s="250"/>
      <c r="E214" s="250"/>
      <c r="F214" s="250"/>
      <c r="G214" s="250"/>
      <c r="H214" s="250"/>
    </row>
    <row r="215" spans="1:8">
      <c r="A215" s="249"/>
      <c r="B215" s="250"/>
      <c r="C215" s="250"/>
      <c r="D215" s="250"/>
      <c r="E215" s="250"/>
      <c r="F215" s="250"/>
      <c r="G215" s="250"/>
      <c r="H215" s="250"/>
    </row>
    <row r="216" spans="1:8">
      <c r="A216" s="249"/>
      <c r="B216" s="250"/>
      <c r="C216" s="250"/>
      <c r="D216" s="250"/>
      <c r="E216" s="250"/>
      <c r="F216" s="250"/>
      <c r="G216" s="250"/>
      <c r="H216" s="250"/>
    </row>
    <row r="217" spans="1:8">
      <c r="A217" s="249"/>
      <c r="B217" s="250"/>
      <c r="C217" s="250"/>
      <c r="D217" s="250"/>
      <c r="E217" s="250"/>
      <c r="F217" s="250"/>
      <c r="G217" s="250"/>
      <c r="H217" s="250"/>
    </row>
    <row r="218" spans="1:8">
      <c r="A218" s="249"/>
      <c r="B218" s="250"/>
      <c r="C218" s="250"/>
      <c r="D218" s="250"/>
      <c r="E218" s="250"/>
      <c r="F218" s="250"/>
      <c r="G218" s="250"/>
      <c r="H218" s="250"/>
    </row>
    <row r="219" spans="1:8">
      <c r="A219" s="249"/>
      <c r="B219" s="250"/>
      <c r="C219" s="250"/>
      <c r="D219" s="250"/>
      <c r="E219" s="250"/>
      <c r="F219" s="250"/>
      <c r="G219" s="250"/>
      <c r="H219" s="250"/>
    </row>
    <row r="220" spans="1:8">
      <c r="A220" s="249"/>
      <c r="B220" s="250"/>
      <c r="C220" s="250"/>
      <c r="D220" s="250"/>
      <c r="E220" s="250"/>
      <c r="F220" s="250"/>
      <c r="G220" s="250"/>
      <c r="H220" s="250"/>
    </row>
    <row r="221" spans="1:8">
      <c r="A221" s="249"/>
      <c r="B221" s="250"/>
      <c r="C221" s="250"/>
      <c r="D221" s="250"/>
      <c r="E221" s="250"/>
      <c r="F221" s="250"/>
      <c r="G221" s="250"/>
      <c r="H221" s="250"/>
    </row>
    <row r="222" spans="1:8">
      <c r="A222" s="249"/>
      <c r="B222" s="250"/>
      <c r="C222" s="250"/>
      <c r="D222" s="250"/>
      <c r="E222" s="250"/>
      <c r="F222" s="250"/>
      <c r="G222" s="250"/>
      <c r="H222" s="250"/>
    </row>
    <row r="223" spans="1:8">
      <c r="A223" s="249"/>
      <c r="B223" s="250"/>
      <c r="C223" s="250"/>
      <c r="D223" s="250"/>
      <c r="E223" s="250"/>
      <c r="F223" s="250"/>
      <c r="G223" s="250"/>
      <c r="H223" s="250"/>
    </row>
    <row r="224" spans="1:8">
      <c r="A224" s="249"/>
      <c r="B224" s="250"/>
      <c r="C224" s="250"/>
      <c r="D224" s="250"/>
      <c r="E224" s="250"/>
      <c r="F224" s="250"/>
      <c r="G224" s="250"/>
      <c r="H224" s="250"/>
    </row>
    <row r="225" spans="1:8">
      <c r="A225" s="249"/>
      <c r="B225" s="250"/>
      <c r="C225" s="250"/>
      <c r="D225" s="250"/>
      <c r="E225" s="250"/>
      <c r="F225" s="250"/>
      <c r="G225" s="250"/>
      <c r="H225" s="250"/>
    </row>
    <row r="226" spans="1:8">
      <c r="A226" s="249"/>
      <c r="B226" s="250"/>
      <c r="C226" s="250"/>
      <c r="D226" s="250"/>
      <c r="E226" s="250"/>
      <c r="F226" s="250"/>
      <c r="G226" s="250"/>
      <c r="H226" s="250"/>
    </row>
    <row r="227" spans="1:8">
      <c r="A227" s="249"/>
      <c r="B227" s="250"/>
      <c r="C227" s="250"/>
      <c r="D227" s="250"/>
      <c r="E227" s="250"/>
      <c r="F227" s="250"/>
      <c r="G227" s="250"/>
      <c r="H227" s="250"/>
    </row>
    <row r="228" spans="1:8">
      <c r="A228" s="249"/>
      <c r="B228" s="250"/>
      <c r="C228" s="250"/>
      <c r="D228" s="250"/>
      <c r="E228" s="250"/>
      <c r="F228" s="250"/>
      <c r="G228" s="250"/>
      <c r="H228" s="250"/>
    </row>
    <row r="229" spans="1:8">
      <c r="A229" s="249"/>
      <c r="B229" s="250"/>
      <c r="C229" s="250"/>
      <c r="D229" s="250"/>
      <c r="E229" s="250"/>
      <c r="F229" s="250"/>
      <c r="G229" s="250"/>
      <c r="H229" s="250"/>
    </row>
    <row r="230" spans="1:8">
      <c r="A230" s="249"/>
      <c r="B230" s="250"/>
      <c r="C230" s="250"/>
      <c r="D230" s="250"/>
      <c r="E230" s="250"/>
      <c r="F230" s="250"/>
      <c r="G230" s="250"/>
      <c r="H230" s="250"/>
    </row>
    <row r="231" spans="1:8">
      <c r="A231" s="249"/>
      <c r="B231" s="250"/>
      <c r="C231" s="250"/>
      <c r="D231" s="250"/>
      <c r="E231" s="250"/>
      <c r="F231" s="250"/>
      <c r="G231" s="250"/>
      <c r="H231" s="250"/>
    </row>
    <row r="232" spans="1:8">
      <c r="A232" s="249"/>
      <c r="B232" s="250"/>
      <c r="C232" s="250"/>
      <c r="D232" s="250"/>
      <c r="E232" s="250"/>
      <c r="F232" s="250"/>
      <c r="G232" s="250"/>
      <c r="H232" s="250"/>
    </row>
    <row r="233" spans="1:8">
      <c r="A233" s="249"/>
      <c r="B233" s="250"/>
      <c r="C233" s="250"/>
      <c r="D233" s="250"/>
      <c r="E233" s="250"/>
      <c r="F233" s="250"/>
      <c r="G233" s="250"/>
      <c r="H233" s="250"/>
    </row>
    <row r="234" spans="1:8">
      <c r="A234" s="249"/>
      <c r="B234" s="250"/>
      <c r="C234" s="250"/>
      <c r="D234" s="250"/>
      <c r="E234" s="250"/>
      <c r="F234" s="250"/>
      <c r="G234" s="250"/>
      <c r="H234" s="250"/>
    </row>
    <row r="235" spans="1:8">
      <c r="A235" s="249"/>
      <c r="B235" s="250"/>
      <c r="C235" s="250"/>
      <c r="D235" s="250"/>
      <c r="E235" s="250"/>
      <c r="F235" s="250"/>
      <c r="G235" s="250"/>
      <c r="H235" s="250"/>
    </row>
    <row r="236" spans="1:8">
      <c r="A236" s="249"/>
      <c r="B236" s="250"/>
      <c r="C236" s="250"/>
      <c r="D236" s="250"/>
      <c r="E236" s="250"/>
      <c r="F236" s="250"/>
      <c r="G236" s="250"/>
      <c r="H236" s="250"/>
    </row>
    <row r="237" spans="1:8">
      <c r="A237" s="249"/>
      <c r="B237" s="250"/>
      <c r="C237" s="250"/>
      <c r="D237" s="250"/>
      <c r="E237" s="250"/>
      <c r="F237" s="250"/>
      <c r="G237" s="250"/>
      <c r="H237" s="250"/>
    </row>
    <row r="238" spans="1:8">
      <c r="A238" s="249"/>
      <c r="B238" s="250"/>
      <c r="C238" s="250"/>
      <c r="D238" s="250"/>
      <c r="E238" s="250"/>
      <c r="F238" s="250"/>
      <c r="G238" s="250"/>
      <c r="H238" s="250"/>
    </row>
    <row r="239" spans="1:8">
      <c r="A239" s="249"/>
      <c r="B239" s="250"/>
      <c r="C239" s="250"/>
      <c r="D239" s="250"/>
      <c r="E239" s="250"/>
      <c r="F239" s="250"/>
      <c r="G239" s="250"/>
      <c r="H239" s="250"/>
    </row>
    <row r="240" spans="1:8">
      <c r="A240" s="249"/>
      <c r="B240" s="250"/>
      <c r="C240" s="250"/>
      <c r="D240" s="250"/>
      <c r="E240" s="250"/>
      <c r="F240" s="250"/>
      <c r="G240" s="250"/>
      <c r="H240" s="250"/>
    </row>
    <row r="241" spans="1:8">
      <c r="A241" s="249"/>
      <c r="B241" s="250"/>
      <c r="C241" s="250"/>
      <c r="D241" s="250"/>
      <c r="E241" s="250"/>
      <c r="F241" s="250"/>
      <c r="G241" s="250"/>
      <c r="H241" s="250"/>
    </row>
    <row r="242" spans="1:8">
      <c r="A242" s="249"/>
      <c r="B242" s="250"/>
      <c r="C242" s="250"/>
      <c r="D242" s="250"/>
      <c r="E242" s="250"/>
      <c r="F242" s="250"/>
      <c r="G242" s="250"/>
      <c r="H242" s="250"/>
    </row>
    <row r="243" spans="1:8">
      <c r="A243" s="249"/>
      <c r="B243" s="250"/>
      <c r="C243" s="250"/>
      <c r="D243" s="250"/>
      <c r="E243" s="250"/>
      <c r="F243" s="250"/>
      <c r="G243" s="250"/>
      <c r="H243" s="250"/>
    </row>
    <row r="244" spans="1:8">
      <c r="A244" s="249"/>
      <c r="B244" s="250"/>
      <c r="C244" s="250"/>
      <c r="D244" s="250"/>
      <c r="E244" s="250"/>
      <c r="F244" s="250"/>
      <c r="G244" s="250"/>
      <c r="H244" s="250"/>
    </row>
    <row r="245" spans="1:8">
      <c r="A245" s="249"/>
      <c r="B245" s="250"/>
      <c r="C245" s="250"/>
      <c r="D245" s="250"/>
      <c r="E245" s="250"/>
      <c r="F245" s="250"/>
      <c r="G245" s="250"/>
      <c r="H245" s="250"/>
    </row>
    <row r="246" spans="1:8">
      <c r="A246" s="249"/>
      <c r="B246" s="250"/>
      <c r="C246" s="250"/>
      <c r="D246" s="250"/>
      <c r="E246" s="250"/>
      <c r="F246" s="250"/>
      <c r="G246" s="250"/>
      <c r="H246" s="250"/>
    </row>
    <row r="247" spans="1:8">
      <c r="A247" s="249"/>
      <c r="B247" s="250"/>
      <c r="C247" s="250"/>
      <c r="D247" s="250"/>
      <c r="E247" s="250"/>
      <c r="F247" s="250"/>
      <c r="G247" s="250"/>
      <c r="H247" s="250"/>
    </row>
    <row r="248" spans="1:8">
      <c r="A248" s="249"/>
      <c r="B248" s="250"/>
      <c r="C248" s="250"/>
      <c r="D248" s="250"/>
      <c r="E248" s="250"/>
      <c r="F248" s="250"/>
      <c r="G248" s="250"/>
      <c r="H248" s="250"/>
    </row>
    <row r="249" spans="1:8">
      <c r="A249" s="249"/>
      <c r="B249" s="250"/>
      <c r="C249" s="250"/>
      <c r="D249" s="250"/>
      <c r="E249" s="250"/>
      <c r="F249" s="250"/>
      <c r="G249" s="250"/>
      <c r="H249" s="250"/>
    </row>
    <row r="250" spans="1:8">
      <c r="A250" s="249"/>
      <c r="B250" s="250"/>
      <c r="C250" s="250"/>
      <c r="D250" s="250"/>
      <c r="E250" s="250"/>
      <c r="F250" s="250"/>
      <c r="G250" s="250"/>
      <c r="H250" s="250"/>
    </row>
    <row r="251" spans="1:8">
      <c r="A251" s="249"/>
      <c r="B251" s="250"/>
      <c r="C251" s="250"/>
      <c r="D251" s="250"/>
      <c r="E251" s="250"/>
      <c r="F251" s="250"/>
      <c r="G251" s="250"/>
      <c r="H251" s="250"/>
    </row>
    <row r="252" spans="1:8">
      <c r="A252" s="249"/>
      <c r="B252" s="250"/>
      <c r="C252" s="250"/>
      <c r="D252" s="250"/>
      <c r="E252" s="250"/>
      <c r="F252" s="250"/>
      <c r="G252" s="250"/>
      <c r="H252" s="250"/>
    </row>
    <row r="253" spans="1:8">
      <c r="A253" s="249"/>
      <c r="B253" s="250"/>
      <c r="C253" s="250"/>
      <c r="D253" s="250"/>
      <c r="E253" s="250"/>
      <c r="F253" s="250"/>
      <c r="G253" s="250"/>
      <c r="H253" s="250"/>
    </row>
    <row r="254" spans="1:8">
      <c r="A254" s="249"/>
      <c r="B254" s="250"/>
      <c r="C254" s="250"/>
      <c r="D254" s="250"/>
      <c r="E254" s="250"/>
      <c r="F254" s="250"/>
      <c r="G254" s="250"/>
      <c r="H254" s="250"/>
    </row>
    <row r="255" spans="1:8">
      <c r="A255" s="249"/>
      <c r="B255" s="250"/>
      <c r="C255" s="250"/>
      <c r="D255" s="250"/>
      <c r="E255" s="250"/>
      <c r="F255" s="250"/>
      <c r="G255" s="250"/>
      <c r="H255" s="250"/>
    </row>
    <row r="256" spans="1:8">
      <c r="A256" s="249"/>
      <c r="B256" s="250"/>
      <c r="C256" s="250"/>
      <c r="D256" s="250"/>
      <c r="E256" s="250"/>
      <c r="F256" s="250"/>
      <c r="G256" s="250"/>
      <c r="H256" s="250"/>
    </row>
    <row r="257" spans="1:8">
      <c r="A257" s="249"/>
      <c r="B257" s="250"/>
      <c r="C257" s="250"/>
      <c r="D257" s="250"/>
      <c r="E257" s="250"/>
      <c r="F257" s="250"/>
      <c r="G257" s="250"/>
      <c r="H257" s="250"/>
    </row>
    <row r="258" spans="1:8">
      <c r="A258" s="249"/>
      <c r="B258" s="250"/>
      <c r="C258" s="250"/>
      <c r="D258" s="250"/>
      <c r="E258" s="250"/>
      <c r="F258" s="250"/>
      <c r="G258" s="250"/>
      <c r="H258" s="250"/>
    </row>
    <row r="259" spans="1:8">
      <c r="A259" s="249"/>
      <c r="B259" s="250"/>
      <c r="C259" s="250"/>
      <c r="D259" s="250"/>
      <c r="E259" s="250"/>
      <c r="F259" s="250"/>
      <c r="G259" s="250"/>
      <c r="H259" s="250"/>
    </row>
    <row r="260" spans="1:8">
      <c r="A260" s="249"/>
      <c r="B260" s="250"/>
      <c r="C260" s="250"/>
      <c r="D260" s="250"/>
      <c r="E260" s="250"/>
      <c r="F260" s="250"/>
      <c r="G260" s="250"/>
      <c r="H260" s="250"/>
    </row>
    <row r="261" spans="1:8">
      <c r="A261" s="249"/>
      <c r="B261" s="250"/>
      <c r="C261" s="250"/>
      <c r="D261" s="250"/>
      <c r="E261" s="250"/>
      <c r="F261" s="250"/>
      <c r="G261" s="250"/>
      <c r="H261" s="250"/>
    </row>
    <row r="262" spans="1:8">
      <c r="A262" s="249"/>
      <c r="B262" s="250"/>
      <c r="C262" s="250"/>
      <c r="D262" s="250"/>
      <c r="E262" s="250"/>
      <c r="F262" s="250"/>
      <c r="G262" s="250"/>
      <c r="H262" s="250"/>
    </row>
    <row r="263" spans="1:8">
      <c r="A263" s="249"/>
      <c r="B263" s="250"/>
      <c r="C263" s="250"/>
      <c r="D263" s="250"/>
      <c r="E263" s="250"/>
      <c r="F263" s="250"/>
      <c r="G263" s="250"/>
      <c r="H263" s="250"/>
    </row>
    <row r="264" spans="1:8">
      <c r="A264" s="249"/>
      <c r="B264" s="250"/>
      <c r="C264" s="250"/>
      <c r="D264" s="250"/>
      <c r="E264" s="250"/>
      <c r="F264" s="250"/>
      <c r="G264" s="250"/>
      <c r="H264" s="250"/>
    </row>
    <row r="265" spans="1:8">
      <c r="A265" s="249"/>
      <c r="B265" s="250"/>
      <c r="C265" s="250"/>
      <c r="D265" s="250"/>
      <c r="E265" s="250"/>
      <c r="F265" s="250"/>
      <c r="G265" s="250"/>
      <c r="H265" s="250"/>
    </row>
    <row r="266" spans="1:8">
      <c r="A266" s="249"/>
      <c r="B266" s="250"/>
      <c r="C266" s="250"/>
      <c r="D266" s="250"/>
      <c r="E266" s="250"/>
      <c r="F266" s="250"/>
      <c r="G266" s="250"/>
      <c r="H266" s="250"/>
    </row>
    <row r="267" spans="1:8">
      <c r="A267" s="249"/>
      <c r="B267" s="250"/>
      <c r="C267" s="250"/>
      <c r="D267" s="250"/>
      <c r="E267" s="250"/>
      <c r="F267" s="250"/>
      <c r="G267" s="250"/>
      <c r="H267" s="250"/>
    </row>
    <row r="268" spans="1:8">
      <c r="A268" s="249"/>
      <c r="B268" s="250"/>
      <c r="C268" s="250"/>
      <c r="D268" s="250"/>
      <c r="E268" s="250"/>
      <c r="F268" s="250"/>
      <c r="G268" s="250"/>
      <c r="H268" s="250"/>
    </row>
    <row r="269" spans="1:8">
      <c r="A269" s="249"/>
      <c r="B269" s="250"/>
      <c r="C269" s="250"/>
      <c r="D269" s="250"/>
      <c r="E269" s="250"/>
      <c r="F269" s="250"/>
      <c r="G269" s="250"/>
      <c r="H269" s="250"/>
    </row>
    <row r="270" spans="1:8">
      <c r="A270" s="249"/>
      <c r="B270" s="250"/>
      <c r="C270" s="250"/>
      <c r="D270" s="250"/>
      <c r="E270" s="250"/>
      <c r="F270" s="250"/>
      <c r="G270" s="250"/>
      <c r="H270" s="250"/>
    </row>
    <row r="271" spans="1:8">
      <c r="A271" s="249"/>
      <c r="B271" s="250"/>
      <c r="C271" s="250"/>
      <c r="D271" s="250"/>
      <c r="E271" s="250"/>
      <c r="F271" s="250"/>
      <c r="G271" s="250"/>
      <c r="H271" s="250"/>
    </row>
    <row r="272" spans="1:8">
      <c r="A272" s="249"/>
      <c r="B272" s="250"/>
      <c r="C272" s="250"/>
      <c r="D272" s="250"/>
      <c r="E272" s="250"/>
      <c r="F272" s="250"/>
      <c r="G272" s="250"/>
      <c r="H272" s="250"/>
    </row>
    <row r="273" spans="1:8">
      <c r="A273" s="249"/>
      <c r="B273" s="250"/>
      <c r="C273" s="250"/>
      <c r="D273" s="250"/>
      <c r="E273" s="250"/>
      <c r="F273" s="250"/>
      <c r="G273" s="250"/>
      <c r="H273" s="250"/>
    </row>
    <row r="274" spans="1:8">
      <c r="A274" s="249"/>
      <c r="B274" s="250"/>
      <c r="C274" s="250"/>
      <c r="D274" s="250"/>
      <c r="E274" s="250"/>
      <c r="F274" s="250"/>
      <c r="G274" s="250"/>
      <c r="H274" s="250"/>
    </row>
    <row r="275" spans="1:8">
      <c r="A275" s="249"/>
      <c r="B275" s="250"/>
      <c r="C275" s="250"/>
      <c r="D275" s="250"/>
      <c r="E275" s="250"/>
      <c r="F275" s="250"/>
      <c r="G275" s="250"/>
      <c r="H275" s="250"/>
    </row>
    <row r="276" spans="1:8">
      <c r="A276" s="249"/>
      <c r="B276" s="250"/>
      <c r="C276" s="250"/>
      <c r="D276" s="250"/>
      <c r="E276" s="250"/>
      <c r="F276" s="250"/>
      <c r="G276" s="250"/>
      <c r="H276" s="250"/>
    </row>
    <row r="277" spans="1:8">
      <c r="A277" s="249"/>
      <c r="B277" s="250"/>
      <c r="C277" s="250"/>
      <c r="D277" s="250"/>
      <c r="E277" s="250"/>
      <c r="F277" s="250"/>
      <c r="G277" s="250"/>
      <c r="H277" s="250"/>
    </row>
    <row r="278" spans="1:8">
      <c r="A278" s="249"/>
      <c r="B278" s="250"/>
      <c r="C278" s="250"/>
      <c r="D278" s="250"/>
      <c r="E278" s="250"/>
      <c r="F278" s="250"/>
      <c r="G278" s="250"/>
      <c r="H278" s="250"/>
    </row>
    <row r="279" spans="1:8">
      <c r="A279" s="249"/>
      <c r="B279" s="250"/>
      <c r="C279" s="250"/>
      <c r="D279" s="250"/>
      <c r="E279" s="250"/>
      <c r="F279" s="250"/>
      <c r="G279" s="250"/>
      <c r="H279" s="250"/>
    </row>
    <row r="280" spans="1:8">
      <c r="A280" s="249"/>
      <c r="B280" s="250"/>
      <c r="C280" s="250"/>
      <c r="D280" s="250"/>
      <c r="E280" s="250"/>
      <c r="F280" s="250"/>
      <c r="G280" s="250"/>
      <c r="H280" s="250"/>
    </row>
    <row r="281" spans="1:8">
      <c r="A281" s="249"/>
      <c r="B281" s="250"/>
      <c r="C281" s="250"/>
      <c r="D281" s="250"/>
      <c r="E281" s="250"/>
      <c r="F281" s="250"/>
      <c r="G281" s="250"/>
      <c r="H281" s="250"/>
    </row>
    <row r="282" spans="1:8">
      <c r="A282" s="249"/>
      <c r="B282" s="250"/>
      <c r="C282" s="250"/>
      <c r="D282" s="250"/>
      <c r="E282" s="250"/>
      <c r="F282" s="250"/>
      <c r="G282" s="250"/>
      <c r="H282" s="250"/>
    </row>
    <row r="283" spans="1:8">
      <c r="A283" s="249"/>
      <c r="B283" s="250"/>
      <c r="C283" s="250"/>
      <c r="D283" s="250"/>
      <c r="E283" s="250"/>
      <c r="F283" s="250"/>
      <c r="G283" s="250"/>
      <c r="H283" s="250"/>
    </row>
    <row r="284" spans="1:8">
      <c r="A284" s="249"/>
      <c r="B284" s="250"/>
      <c r="C284" s="250"/>
      <c r="D284" s="250"/>
      <c r="E284" s="250"/>
      <c r="F284" s="250"/>
      <c r="G284" s="250"/>
      <c r="H284" s="250"/>
    </row>
    <row r="285" spans="1:8">
      <c r="A285" s="249"/>
      <c r="B285" s="250"/>
      <c r="C285" s="250"/>
      <c r="D285" s="250"/>
      <c r="E285" s="250"/>
      <c r="F285" s="250"/>
      <c r="G285" s="250"/>
      <c r="H285" s="250"/>
    </row>
    <row r="286" spans="1:8">
      <c r="A286" s="249"/>
      <c r="B286" s="250"/>
      <c r="C286" s="250"/>
      <c r="D286" s="250"/>
      <c r="E286" s="250"/>
      <c r="F286" s="250"/>
      <c r="G286" s="250"/>
      <c r="H286" s="250"/>
    </row>
    <row r="287" spans="1:8">
      <c r="A287" s="249"/>
      <c r="B287" s="250"/>
      <c r="C287" s="250"/>
      <c r="D287" s="250"/>
      <c r="E287" s="250"/>
      <c r="F287" s="250"/>
      <c r="G287" s="250"/>
      <c r="H287" s="250"/>
    </row>
    <row r="288" spans="1:8">
      <c r="A288" s="249"/>
      <c r="B288" s="250"/>
      <c r="C288" s="250"/>
      <c r="D288" s="250"/>
      <c r="E288" s="250"/>
      <c r="F288" s="250"/>
      <c r="G288" s="250"/>
      <c r="H288" s="250"/>
    </row>
    <row r="289" spans="1:8">
      <c r="A289" s="249"/>
      <c r="B289" s="250"/>
      <c r="C289" s="250"/>
      <c r="D289" s="250"/>
      <c r="E289" s="250"/>
      <c r="F289" s="250"/>
      <c r="G289" s="250"/>
      <c r="H289" s="250"/>
    </row>
    <row r="290" spans="1:8">
      <c r="A290" s="249"/>
      <c r="B290" s="250"/>
      <c r="C290" s="250"/>
      <c r="D290" s="250"/>
      <c r="E290" s="250"/>
      <c r="F290" s="250"/>
      <c r="G290" s="250"/>
      <c r="H290" s="250"/>
    </row>
    <row r="291" spans="1:8">
      <c r="A291" s="249"/>
      <c r="B291" s="250"/>
      <c r="C291" s="250"/>
      <c r="D291" s="250"/>
      <c r="E291" s="250"/>
      <c r="F291" s="250"/>
      <c r="G291" s="250"/>
      <c r="H291" s="250"/>
    </row>
    <row r="292" spans="1:8">
      <c r="A292" s="249"/>
      <c r="B292" s="250"/>
      <c r="C292" s="250"/>
      <c r="D292" s="250"/>
      <c r="E292" s="250"/>
      <c r="F292" s="250"/>
      <c r="G292" s="250"/>
      <c r="H292" s="250"/>
    </row>
    <row r="293" spans="1:8">
      <c r="A293" s="249"/>
      <c r="B293" s="250"/>
      <c r="C293" s="250"/>
      <c r="D293" s="250"/>
      <c r="E293" s="250"/>
      <c r="F293" s="250"/>
      <c r="G293" s="250"/>
      <c r="H293" s="250"/>
    </row>
    <row r="294" spans="1:8">
      <c r="A294" s="249"/>
      <c r="B294" s="250"/>
      <c r="C294" s="250"/>
      <c r="D294" s="250"/>
      <c r="E294" s="250"/>
      <c r="F294" s="250"/>
      <c r="G294" s="250"/>
      <c r="H294" s="250"/>
    </row>
    <row r="295" spans="1:8">
      <c r="A295" s="249"/>
      <c r="B295" s="250"/>
      <c r="C295" s="250"/>
      <c r="D295" s="250"/>
      <c r="E295" s="250"/>
      <c r="F295" s="250"/>
      <c r="G295" s="250"/>
      <c r="H295" s="250"/>
    </row>
    <row r="296" spans="1:8">
      <c r="A296" s="249"/>
      <c r="B296" s="250"/>
      <c r="C296" s="250"/>
      <c r="D296" s="250"/>
      <c r="E296" s="250"/>
      <c r="F296" s="250"/>
      <c r="G296" s="250"/>
      <c r="H296" s="250"/>
    </row>
    <row r="297" spans="1:8">
      <c r="A297" s="249"/>
      <c r="B297" s="250"/>
      <c r="C297" s="250"/>
      <c r="D297" s="250"/>
      <c r="E297" s="250"/>
      <c r="F297" s="250"/>
      <c r="G297" s="250"/>
      <c r="H297" s="250"/>
    </row>
    <row r="298" spans="1:8">
      <c r="A298" s="249"/>
      <c r="B298" s="250"/>
      <c r="C298" s="250"/>
      <c r="D298" s="250"/>
      <c r="E298" s="250"/>
      <c r="F298" s="250"/>
      <c r="G298" s="250"/>
      <c r="H298" s="250"/>
    </row>
    <row r="299" spans="1:8">
      <c r="A299" s="249"/>
      <c r="B299" s="250"/>
      <c r="C299" s="250"/>
      <c r="D299" s="250"/>
      <c r="E299" s="250"/>
      <c r="F299" s="250"/>
      <c r="G299" s="250"/>
      <c r="H299" s="250"/>
    </row>
    <row r="300" spans="1:8">
      <c r="A300" s="249"/>
      <c r="B300" s="250"/>
      <c r="C300" s="250"/>
      <c r="D300" s="250"/>
      <c r="E300" s="250"/>
      <c r="F300" s="250"/>
      <c r="G300" s="250"/>
      <c r="H300" s="250"/>
    </row>
    <row r="301" spans="1:8">
      <c r="A301" s="249"/>
      <c r="B301" s="250"/>
      <c r="C301" s="250"/>
      <c r="D301" s="250"/>
      <c r="E301" s="250"/>
      <c r="F301" s="250"/>
      <c r="G301" s="250"/>
      <c r="H301" s="250"/>
    </row>
    <row r="302" spans="1:8">
      <c r="A302" s="249"/>
      <c r="B302" s="250"/>
      <c r="C302" s="250"/>
      <c r="D302" s="250"/>
      <c r="E302" s="250"/>
      <c r="F302" s="250"/>
      <c r="G302" s="250"/>
      <c r="H302" s="250"/>
    </row>
    <row r="303" spans="1:8">
      <c r="A303" s="249"/>
      <c r="B303" s="250"/>
      <c r="C303" s="250"/>
      <c r="D303" s="250"/>
      <c r="E303" s="250"/>
      <c r="F303" s="250"/>
      <c r="G303" s="250"/>
      <c r="H303" s="250"/>
    </row>
    <row r="304" spans="1:8">
      <c r="A304" s="249"/>
      <c r="B304" s="250"/>
      <c r="C304" s="250"/>
      <c r="D304" s="250"/>
      <c r="E304" s="250"/>
      <c r="F304" s="250"/>
      <c r="G304" s="250"/>
      <c r="H304" s="250"/>
    </row>
    <row r="305" spans="1:8">
      <c r="A305" s="249"/>
      <c r="B305" s="250"/>
      <c r="C305" s="250"/>
      <c r="D305" s="250"/>
      <c r="E305" s="250"/>
      <c r="F305" s="250"/>
      <c r="G305" s="250"/>
      <c r="H305" s="250"/>
    </row>
    <row r="306" spans="1:8">
      <c r="A306" s="249"/>
      <c r="B306" s="250"/>
      <c r="C306" s="250"/>
      <c r="D306" s="250"/>
      <c r="E306" s="250"/>
      <c r="F306" s="250"/>
      <c r="G306" s="250"/>
      <c r="H306" s="250"/>
    </row>
    <row r="307" spans="1:8">
      <c r="A307" s="249"/>
      <c r="B307" s="250"/>
      <c r="C307" s="250"/>
      <c r="D307" s="250"/>
      <c r="E307" s="250"/>
      <c r="F307" s="250"/>
      <c r="G307" s="250"/>
      <c r="H307" s="250"/>
    </row>
    <row r="308" spans="1:8">
      <c r="A308" s="249"/>
      <c r="B308" s="250"/>
      <c r="C308" s="250"/>
      <c r="D308" s="250"/>
      <c r="E308" s="250"/>
      <c r="F308" s="250"/>
      <c r="G308" s="250"/>
      <c r="H308" s="250"/>
    </row>
    <row r="309" spans="1:8">
      <c r="A309" s="249"/>
      <c r="B309" s="250"/>
      <c r="C309" s="250"/>
      <c r="D309" s="250"/>
      <c r="E309" s="250"/>
      <c r="F309" s="250"/>
      <c r="G309" s="250"/>
      <c r="H309" s="250"/>
    </row>
    <row r="310" spans="1:8">
      <c r="A310" s="249"/>
      <c r="B310" s="250"/>
      <c r="C310" s="250"/>
      <c r="D310" s="250"/>
      <c r="E310" s="250"/>
      <c r="F310" s="250"/>
      <c r="G310" s="250"/>
      <c r="H310" s="250"/>
    </row>
    <row r="311" spans="1:8">
      <c r="A311" s="249"/>
      <c r="B311" s="250"/>
      <c r="C311" s="250"/>
      <c r="D311" s="250"/>
      <c r="E311" s="250"/>
      <c r="F311" s="250"/>
      <c r="G311" s="250"/>
      <c r="H311" s="250"/>
    </row>
    <row r="312" spans="1:8">
      <c r="A312" s="249"/>
      <c r="B312" s="250"/>
      <c r="C312" s="250"/>
      <c r="D312" s="250"/>
      <c r="E312" s="250"/>
      <c r="F312" s="250"/>
      <c r="G312" s="250"/>
      <c r="H312" s="250"/>
    </row>
    <row r="313" spans="1:8">
      <c r="A313" s="249"/>
      <c r="B313" s="250"/>
      <c r="C313" s="250"/>
      <c r="D313" s="250"/>
      <c r="E313" s="250"/>
      <c r="F313" s="250"/>
      <c r="G313" s="250"/>
      <c r="H313" s="250"/>
    </row>
    <row r="314" spans="1:8">
      <c r="A314" s="249"/>
      <c r="B314" s="250"/>
      <c r="C314" s="250"/>
      <c r="D314" s="250"/>
      <c r="E314" s="250"/>
      <c r="F314" s="250"/>
      <c r="G314" s="250"/>
      <c r="H314" s="250"/>
    </row>
    <row r="315" spans="1:8">
      <c r="A315" s="249"/>
      <c r="B315" s="250"/>
      <c r="C315" s="250"/>
      <c r="D315" s="250"/>
      <c r="E315" s="250"/>
      <c r="F315" s="250"/>
      <c r="G315" s="250"/>
      <c r="H315" s="250"/>
    </row>
    <row r="316" spans="1:8">
      <c r="A316" s="249"/>
      <c r="B316" s="250"/>
      <c r="C316" s="250"/>
      <c r="D316" s="250"/>
      <c r="E316" s="250"/>
      <c r="F316" s="250"/>
      <c r="G316" s="250"/>
      <c r="H316" s="250"/>
    </row>
    <row r="317" spans="1:8">
      <c r="A317" s="249"/>
      <c r="B317" s="250"/>
      <c r="C317" s="250"/>
      <c r="D317" s="250"/>
      <c r="E317" s="250"/>
      <c r="F317" s="250"/>
      <c r="G317" s="250"/>
      <c r="H317" s="250"/>
    </row>
    <row r="318" spans="1:8">
      <c r="A318" s="249"/>
      <c r="B318" s="250"/>
      <c r="C318" s="250"/>
      <c r="D318" s="250"/>
      <c r="E318" s="250"/>
      <c r="F318" s="250"/>
      <c r="G318" s="250"/>
      <c r="H318" s="250"/>
    </row>
    <row r="319" spans="1:8">
      <c r="A319" s="249"/>
      <c r="B319" s="250"/>
      <c r="C319" s="250"/>
      <c r="D319" s="250"/>
      <c r="E319" s="250"/>
      <c r="F319" s="250"/>
      <c r="G319" s="250"/>
      <c r="H319" s="250"/>
    </row>
    <row r="320" spans="1:8">
      <c r="A320" s="249"/>
      <c r="B320" s="250"/>
      <c r="C320" s="250"/>
      <c r="D320" s="250"/>
      <c r="E320" s="250"/>
      <c r="F320" s="250"/>
      <c r="G320" s="250"/>
      <c r="H320" s="250"/>
    </row>
    <row r="321" spans="1:8">
      <c r="A321" s="249"/>
      <c r="B321" s="250"/>
      <c r="C321" s="250"/>
      <c r="D321" s="250"/>
      <c r="E321" s="250"/>
      <c r="F321" s="250"/>
      <c r="G321" s="250"/>
      <c r="H321" s="250"/>
    </row>
    <row r="322" spans="1:8">
      <c r="A322" s="249"/>
      <c r="B322" s="250"/>
      <c r="C322" s="250"/>
      <c r="D322" s="250"/>
      <c r="E322" s="250"/>
      <c r="F322" s="250"/>
      <c r="G322" s="250"/>
      <c r="H322" s="250"/>
    </row>
    <row r="323" spans="1:8">
      <c r="A323" s="249"/>
      <c r="B323" s="250"/>
      <c r="C323" s="250"/>
      <c r="D323" s="250"/>
      <c r="E323" s="250"/>
      <c r="F323" s="250"/>
      <c r="G323" s="250"/>
      <c r="H323" s="250"/>
    </row>
    <row r="324" spans="1:8">
      <c r="A324" s="249"/>
      <c r="B324" s="250"/>
      <c r="C324" s="250"/>
      <c r="D324" s="250"/>
      <c r="E324" s="250"/>
      <c r="F324" s="250"/>
      <c r="G324" s="250"/>
      <c r="H324" s="250"/>
    </row>
    <row r="325" spans="1:8">
      <c r="A325" s="249"/>
      <c r="B325" s="250"/>
      <c r="C325" s="250"/>
      <c r="D325" s="250"/>
      <c r="E325" s="250"/>
      <c r="F325" s="250"/>
      <c r="G325" s="250"/>
      <c r="H325" s="250"/>
    </row>
    <row r="326" spans="1:8">
      <c r="A326" s="249"/>
      <c r="B326" s="250"/>
      <c r="C326" s="250"/>
      <c r="D326" s="250"/>
      <c r="E326" s="250"/>
      <c r="F326" s="250"/>
      <c r="G326" s="250"/>
      <c r="H326" s="250"/>
    </row>
    <row r="327" spans="1:8">
      <c r="A327" s="249"/>
      <c r="B327" s="250"/>
      <c r="C327" s="250"/>
      <c r="D327" s="250"/>
      <c r="E327" s="250"/>
      <c r="F327" s="250"/>
      <c r="G327" s="250"/>
      <c r="H327" s="250"/>
    </row>
    <row r="328" spans="1:8">
      <c r="A328" s="249"/>
      <c r="B328" s="250"/>
      <c r="C328" s="250"/>
      <c r="D328" s="250"/>
      <c r="E328" s="250"/>
      <c r="F328" s="250"/>
      <c r="G328" s="250"/>
      <c r="H328" s="250"/>
    </row>
    <row r="329" spans="1:8">
      <c r="A329" s="249"/>
      <c r="B329" s="250"/>
      <c r="C329" s="250"/>
      <c r="D329" s="250"/>
      <c r="E329" s="250"/>
      <c r="F329" s="250"/>
      <c r="G329" s="250"/>
      <c r="H329" s="250"/>
    </row>
    <row r="330" spans="1:8">
      <c r="A330" s="249"/>
      <c r="B330" s="250"/>
      <c r="C330" s="250"/>
      <c r="D330" s="250"/>
      <c r="E330" s="250"/>
      <c r="F330" s="250"/>
      <c r="G330" s="250"/>
      <c r="H330" s="250"/>
    </row>
    <row r="331" spans="1:8">
      <c r="A331" s="249"/>
      <c r="B331" s="250"/>
      <c r="C331" s="250"/>
      <c r="D331" s="250"/>
      <c r="E331" s="250"/>
      <c r="F331" s="250"/>
      <c r="G331" s="250"/>
      <c r="H331" s="250"/>
    </row>
    <row r="332" spans="1:8">
      <c r="A332" s="249"/>
      <c r="B332" s="250"/>
      <c r="C332" s="250"/>
      <c r="D332" s="250"/>
      <c r="E332" s="250"/>
      <c r="F332" s="250"/>
      <c r="G332" s="250"/>
      <c r="H332" s="250"/>
    </row>
    <row r="333" spans="1:8">
      <c r="A333" s="249"/>
      <c r="B333" s="250"/>
      <c r="C333" s="250"/>
      <c r="D333" s="250"/>
      <c r="E333" s="250"/>
      <c r="F333" s="250"/>
      <c r="G333" s="250"/>
      <c r="H333" s="250"/>
    </row>
    <row r="334" spans="1:8">
      <c r="A334" s="249"/>
      <c r="B334" s="250"/>
      <c r="C334" s="250"/>
      <c r="D334" s="250"/>
      <c r="E334" s="250"/>
      <c r="F334" s="250"/>
      <c r="G334" s="250"/>
      <c r="H334" s="250"/>
    </row>
    <row r="335" spans="1:8">
      <c r="A335" s="249"/>
      <c r="B335" s="250"/>
      <c r="C335" s="250"/>
      <c r="D335" s="250"/>
      <c r="E335" s="250"/>
      <c r="F335" s="250"/>
      <c r="G335" s="250"/>
      <c r="H335" s="250"/>
    </row>
    <row r="336" spans="1:8">
      <c r="A336" s="249"/>
      <c r="B336" s="250"/>
      <c r="C336" s="250"/>
      <c r="D336" s="250"/>
      <c r="E336" s="250"/>
      <c r="F336" s="250"/>
      <c r="G336" s="250"/>
      <c r="H336" s="250"/>
    </row>
    <row r="337" spans="1:8">
      <c r="A337" s="249"/>
      <c r="B337" s="250"/>
      <c r="C337" s="250"/>
      <c r="D337" s="250"/>
      <c r="E337" s="250"/>
      <c r="F337" s="250"/>
      <c r="G337" s="250"/>
      <c r="H337" s="250"/>
    </row>
    <row r="338" spans="1:8">
      <c r="A338" s="249"/>
      <c r="B338" s="250"/>
      <c r="C338" s="250"/>
      <c r="D338" s="250"/>
      <c r="E338" s="250"/>
      <c r="F338" s="250"/>
      <c r="G338" s="250"/>
      <c r="H338" s="250"/>
    </row>
    <row r="339" spans="1:8">
      <c r="A339" s="249"/>
      <c r="B339" s="250"/>
      <c r="C339" s="250"/>
      <c r="D339" s="250"/>
      <c r="E339" s="250"/>
      <c r="F339" s="250"/>
      <c r="G339" s="250"/>
      <c r="H339" s="250"/>
    </row>
    <row r="340" spans="1:8">
      <c r="A340" s="249"/>
      <c r="B340" s="250"/>
      <c r="C340" s="250"/>
      <c r="D340" s="250"/>
      <c r="E340" s="250"/>
      <c r="F340" s="250"/>
      <c r="G340" s="250"/>
      <c r="H340" s="250"/>
    </row>
    <row r="341" spans="1:8">
      <c r="A341" s="249"/>
      <c r="B341" s="250"/>
      <c r="C341" s="250"/>
      <c r="D341" s="250"/>
      <c r="E341" s="250"/>
      <c r="F341" s="250"/>
      <c r="G341" s="250"/>
      <c r="H341" s="250"/>
    </row>
    <row r="342" spans="1:8">
      <c r="A342" s="249"/>
      <c r="B342" s="250"/>
      <c r="C342" s="250"/>
      <c r="D342" s="250"/>
      <c r="E342" s="250"/>
      <c r="F342" s="250"/>
      <c r="G342" s="250"/>
      <c r="H342" s="250"/>
    </row>
    <row r="343" spans="1:8">
      <c r="A343" s="249"/>
      <c r="B343" s="250"/>
      <c r="C343" s="250"/>
      <c r="D343" s="250"/>
      <c r="E343" s="250"/>
      <c r="F343" s="250"/>
      <c r="G343" s="250"/>
      <c r="H343" s="250"/>
    </row>
    <row r="344" spans="1:8">
      <c r="A344" s="249"/>
      <c r="B344" s="250"/>
      <c r="C344" s="250"/>
      <c r="D344" s="250"/>
      <c r="E344" s="250"/>
      <c r="F344" s="250"/>
      <c r="G344" s="250"/>
      <c r="H344" s="250"/>
    </row>
    <row r="345" spans="1:8">
      <c r="A345" s="249"/>
      <c r="B345" s="250"/>
      <c r="C345" s="250"/>
      <c r="D345" s="250"/>
      <c r="E345" s="250"/>
      <c r="F345" s="250"/>
      <c r="G345" s="250"/>
      <c r="H345" s="250"/>
    </row>
    <row r="346" spans="1:8">
      <c r="A346" s="249"/>
      <c r="B346" s="250"/>
      <c r="C346" s="250"/>
      <c r="D346" s="250"/>
      <c r="E346" s="250"/>
      <c r="F346" s="250"/>
      <c r="G346" s="250"/>
      <c r="H346" s="250"/>
    </row>
    <row r="347" spans="1:8">
      <c r="A347" s="249"/>
      <c r="B347" s="250"/>
      <c r="C347" s="250"/>
      <c r="D347" s="250"/>
      <c r="E347" s="250"/>
      <c r="F347" s="250"/>
      <c r="G347" s="250"/>
      <c r="H347" s="250"/>
    </row>
    <row r="348" spans="1:8">
      <c r="A348" s="249"/>
      <c r="B348" s="250"/>
      <c r="C348" s="250"/>
      <c r="D348" s="250"/>
      <c r="E348" s="250"/>
      <c r="F348" s="250"/>
      <c r="G348" s="250"/>
      <c r="H348" s="250"/>
    </row>
    <row r="349" spans="1:8">
      <c r="A349" s="249"/>
      <c r="B349" s="250"/>
      <c r="C349" s="250"/>
      <c r="D349" s="250"/>
      <c r="E349" s="250"/>
      <c r="F349" s="250"/>
      <c r="G349" s="250"/>
      <c r="H349" s="250"/>
    </row>
    <row r="350" spans="1:8">
      <c r="A350" s="249"/>
      <c r="B350" s="250"/>
      <c r="C350" s="250"/>
      <c r="D350" s="250"/>
      <c r="E350" s="250"/>
      <c r="F350" s="250"/>
      <c r="G350" s="250"/>
      <c r="H350" s="250"/>
    </row>
    <row r="351" spans="1:8">
      <c r="A351" s="249"/>
      <c r="B351" s="250"/>
      <c r="C351" s="250"/>
      <c r="D351" s="250"/>
      <c r="E351" s="250"/>
      <c r="F351" s="250"/>
      <c r="G351" s="250"/>
      <c r="H351" s="250"/>
    </row>
    <row r="352" spans="1:8">
      <c r="A352" s="249"/>
      <c r="B352" s="250"/>
      <c r="C352" s="250"/>
      <c r="D352" s="250"/>
      <c r="E352" s="250"/>
      <c r="F352" s="250"/>
      <c r="G352" s="250"/>
      <c r="H352" s="250"/>
    </row>
    <row r="353" spans="1:8">
      <c r="A353" s="249"/>
      <c r="B353" s="250"/>
      <c r="C353" s="250"/>
      <c r="D353" s="250"/>
      <c r="E353" s="250"/>
      <c r="F353" s="250"/>
      <c r="G353" s="250"/>
      <c r="H353" s="250"/>
    </row>
    <row r="354" spans="1:8">
      <c r="A354" s="249"/>
      <c r="B354" s="250"/>
      <c r="C354" s="250"/>
      <c r="D354" s="250"/>
      <c r="E354" s="250"/>
      <c r="F354" s="250"/>
      <c r="G354" s="250"/>
      <c r="H354" s="250"/>
    </row>
    <row r="355" spans="1:8">
      <c r="A355" s="249"/>
      <c r="B355" s="250"/>
      <c r="C355" s="250"/>
      <c r="D355" s="250"/>
      <c r="E355" s="250"/>
      <c r="F355" s="250"/>
      <c r="G355" s="250"/>
      <c r="H355" s="250"/>
    </row>
    <row r="356" spans="1:8">
      <c r="A356" s="249"/>
      <c r="B356" s="250"/>
      <c r="C356" s="250"/>
      <c r="D356" s="250"/>
      <c r="E356" s="250"/>
      <c r="F356" s="250"/>
      <c r="G356" s="250"/>
      <c r="H356" s="250"/>
    </row>
    <row r="357" spans="1:8">
      <c r="A357" s="249"/>
      <c r="B357" s="250"/>
      <c r="C357" s="250"/>
      <c r="D357" s="250"/>
      <c r="E357" s="250"/>
      <c r="F357" s="250"/>
      <c r="G357" s="250"/>
      <c r="H357" s="250"/>
    </row>
    <row r="358" spans="1:8">
      <c r="A358" s="249"/>
      <c r="B358" s="250"/>
      <c r="C358" s="250"/>
      <c r="D358" s="250"/>
      <c r="E358" s="250"/>
      <c r="F358" s="250"/>
      <c r="G358" s="250"/>
      <c r="H358" s="250"/>
    </row>
    <row r="359" spans="1:8">
      <c r="A359" s="249"/>
      <c r="B359" s="250"/>
      <c r="C359" s="250"/>
      <c r="D359" s="250"/>
      <c r="E359" s="250"/>
      <c r="F359" s="250"/>
      <c r="G359" s="250"/>
      <c r="H359" s="250"/>
    </row>
    <row r="360" spans="1:8">
      <c r="A360" s="249"/>
      <c r="B360" s="250"/>
      <c r="C360" s="250"/>
      <c r="D360" s="250"/>
      <c r="E360" s="250"/>
      <c r="F360" s="250"/>
      <c r="G360" s="250"/>
      <c r="H360" s="250"/>
    </row>
    <row r="361" spans="1:8">
      <c r="A361" s="249"/>
      <c r="B361" s="250"/>
      <c r="C361" s="250"/>
      <c r="D361" s="250"/>
      <c r="E361" s="250"/>
      <c r="F361" s="250"/>
      <c r="G361" s="250"/>
      <c r="H361" s="250"/>
    </row>
    <row r="362" spans="1:8">
      <c r="A362" s="249"/>
      <c r="B362" s="250"/>
      <c r="C362" s="250"/>
      <c r="D362" s="250"/>
      <c r="E362" s="250"/>
      <c r="F362" s="250"/>
      <c r="G362" s="250"/>
      <c r="H362" s="250"/>
    </row>
    <row r="363" spans="1:8">
      <c r="A363" s="249"/>
      <c r="B363" s="250"/>
      <c r="C363" s="250"/>
      <c r="D363" s="250"/>
      <c r="E363" s="250"/>
      <c r="F363" s="250"/>
      <c r="G363" s="250"/>
      <c r="H363" s="250"/>
    </row>
    <row r="364" spans="1:8">
      <c r="A364" s="249"/>
      <c r="B364" s="250"/>
      <c r="C364" s="250"/>
      <c r="D364" s="250"/>
      <c r="E364" s="250"/>
      <c r="F364" s="250"/>
      <c r="G364" s="250"/>
      <c r="H364" s="250"/>
    </row>
    <row r="365" spans="1:8">
      <c r="A365" s="249"/>
      <c r="B365" s="250"/>
      <c r="C365" s="250"/>
      <c r="D365" s="250"/>
      <c r="E365" s="250"/>
      <c r="F365" s="250"/>
      <c r="G365" s="250"/>
      <c r="H365" s="250"/>
    </row>
    <row r="366" spans="1:8">
      <c r="A366" s="249"/>
      <c r="B366" s="250"/>
      <c r="C366" s="250"/>
      <c r="D366" s="250"/>
      <c r="E366" s="250"/>
      <c r="F366" s="250"/>
      <c r="G366" s="250"/>
      <c r="H366" s="250"/>
    </row>
    <row r="367" spans="1:8">
      <c r="A367" s="249"/>
      <c r="B367" s="250"/>
      <c r="C367" s="250"/>
      <c r="D367" s="250"/>
      <c r="E367" s="250"/>
      <c r="F367" s="250"/>
      <c r="G367" s="250"/>
      <c r="H367" s="250"/>
    </row>
    <row r="368" spans="1:8">
      <c r="A368" s="249"/>
      <c r="B368" s="250"/>
      <c r="C368" s="250"/>
      <c r="D368" s="250"/>
      <c r="E368" s="250"/>
      <c r="F368" s="250"/>
      <c r="G368" s="250"/>
      <c r="H368" s="250"/>
    </row>
    <row r="369" spans="1:8">
      <c r="A369" s="249"/>
      <c r="B369" s="250"/>
      <c r="C369" s="250"/>
      <c r="D369" s="250"/>
      <c r="E369" s="250"/>
      <c r="F369" s="250"/>
      <c r="G369" s="250"/>
      <c r="H369" s="250"/>
    </row>
    <row r="370" spans="1:8">
      <c r="A370" s="249"/>
      <c r="B370" s="250"/>
      <c r="C370" s="250"/>
      <c r="D370" s="250"/>
      <c r="E370" s="250"/>
      <c r="F370" s="250"/>
      <c r="G370" s="250"/>
      <c r="H370" s="250"/>
    </row>
    <row r="371" spans="1:8">
      <c r="A371" s="249"/>
      <c r="B371" s="250"/>
      <c r="C371" s="250"/>
      <c r="D371" s="250"/>
      <c r="E371" s="250"/>
      <c r="F371" s="250"/>
      <c r="G371" s="250"/>
      <c r="H371" s="250"/>
    </row>
    <row r="372" spans="1:8">
      <c r="A372" s="249"/>
      <c r="B372" s="250"/>
      <c r="C372" s="250"/>
      <c r="D372" s="250"/>
      <c r="E372" s="250"/>
      <c r="F372" s="250"/>
      <c r="G372" s="250"/>
      <c r="H372" s="250"/>
    </row>
    <row r="373" spans="1:8">
      <c r="A373" s="249"/>
      <c r="B373" s="250"/>
      <c r="C373" s="250"/>
      <c r="D373" s="250"/>
      <c r="E373" s="250"/>
      <c r="F373" s="250"/>
      <c r="G373" s="250"/>
      <c r="H373" s="250"/>
    </row>
    <row r="374" spans="1:8">
      <c r="A374" s="249"/>
      <c r="B374" s="250"/>
      <c r="C374" s="250"/>
      <c r="D374" s="250"/>
      <c r="E374" s="250"/>
      <c r="F374" s="250"/>
      <c r="G374" s="250"/>
      <c r="H374" s="250"/>
    </row>
    <row r="375" spans="1:8">
      <c r="A375" s="249"/>
      <c r="B375" s="250"/>
      <c r="C375" s="250"/>
      <c r="D375" s="250"/>
      <c r="E375" s="250"/>
      <c r="F375" s="250"/>
      <c r="G375" s="250"/>
      <c r="H375" s="250"/>
    </row>
    <row r="376" spans="1:8">
      <c r="A376" s="249"/>
      <c r="B376" s="250"/>
      <c r="C376" s="250"/>
      <c r="D376" s="250"/>
      <c r="E376" s="250"/>
      <c r="F376" s="250"/>
      <c r="G376" s="250"/>
      <c r="H376" s="250"/>
    </row>
    <row r="377" spans="1:8">
      <c r="A377" s="249"/>
      <c r="B377" s="250"/>
      <c r="C377" s="250"/>
      <c r="D377" s="250"/>
      <c r="E377" s="250"/>
      <c r="F377" s="250"/>
      <c r="G377" s="250"/>
      <c r="H377" s="250"/>
    </row>
    <row r="378" spans="1:8">
      <c r="A378" s="249"/>
      <c r="B378" s="250"/>
      <c r="C378" s="250"/>
      <c r="D378" s="250"/>
      <c r="E378" s="250"/>
      <c r="F378" s="250"/>
      <c r="G378" s="250"/>
      <c r="H378" s="250"/>
    </row>
    <row r="379" spans="1:8">
      <c r="A379" s="249"/>
      <c r="B379" s="250"/>
      <c r="C379" s="250"/>
      <c r="D379" s="250"/>
      <c r="E379" s="250"/>
      <c r="F379" s="250"/>
      <c r="G379" s="250"/>
      <c r="H379" s="250"/>
    </row>
    <row r="380" spans="1:8">
      <c r="A380" s="249"/>
      <c r="B380" s="250"/>
      <c r="C380" s="250"/>
      <c r="D380" s="250"/>
      <c r="E380" s="250"/>
      <c r="F380" s="250"/>
      <c r="G380" s="250"/>
      <c r="H380" s="250"/>
    </row>
    <row r="381" spans="1:8">
      <c r="A381" s="249"/>
      <c r="B381" s="250"/>
      <c r="C381" s="250"/>
      <c r="D381" s="250"/>
      <c r="E381" s="250"/>
      <c r="F381" s="250"/>
      <c r="G381" s="250"/>
      <c r="H381" s="250"/>
    </row>
    <row r="382" spans="1:8">
      <c r="A382" s="249"/>
      <c r="B382" s="250"/>
      <c r="C382" s="250"/>
      <c r="D382" s="250"/>
      <c r="E382" s="250"/>
      <c r="F382" s="250"/>
      <c r="G382" s="250"/>
      <c r="H382" s="250"/>
    </row>
    <row r="383" spans="1:8">
      <c r="A383" s="249"/>
      <c r="B383" s="250"/>
      <c r="C383" s="250"/>
      <c r="D383" s="250"/>
      <c r="E383" s="250"/>
      <c r="F383" s="250"/>
      <c r="G383" s="250"/>
      <c r="H383" s="250"/>
    </row>
    <row r="384" spans="1:8">
      <c r="A384" s="249"/>
      <c r="B384" s="250"/>
      <c r="C384" s="250"/>
      <c r="D384" s="250"/>
      <c r="E384" s="250"/>
      <c r="F384" s="250"/>
      <c r="G384" s="250"/>
      <c r="H384" s="250"/>
    </row>
    <row r="385" spans="1:8">
      <c r="A385" s="249"/>
      <c r="B385" s="250"/>
      <c r="C385" s="250"/>
      <c r="D385" s="250"/>
      <c r="E385" s="250"/>
      <c r="F385" s="250"/>
      <c r="G385" s="250"/>
      <c r="H385" s="250"/>
    </row>
    <row r="386" spans="1:8">
      <c r="A386" s="249"/>
      <c r="B386" s="250"/>
      <c r="C386" s="250"/>
      <c r="D386" s="250"/>
      <c r="E386" s="250"/>
      <c r="F386" s="250"/>
      <c r="G386" s="250"/>
      <c r="H386" s="250"/>
    </row>
    <row r="387" spans="1:8">
      <c r="A387" s="249"/>
      <c r="B387" s="250"/>
      <c r="C387" s="250"/>
      <c r="D387" s="250"/>
      <c r="E387" s="250"/>
      <c r="F387" s="250"/>
      <c r="G387" s="250"/>
      <c r="H387" s="250"/>
    </row>
    <row r="388" spans="1:8">
      <c r="A388" s="249"/>
      <c r="B388" s="250"/>
      <c r="C388" s="250"/>
      <c r="D388" s="250"/>
      <c r="E388" s="250"/>
      <c r="F388" s="250"/>
      <c r="G388" s="250"/>
      <c r="H388" s="250"/>
    </row>
    <row r="389" spans="1:8">
      <c r="A389" s="249"/>
      <c r="B389" s="250"/>
      <c r="C389" s="250"/>
      <c r="D389" s="250"/>
      <c r="E389" s="250"/>
      <c r="F389" s="250"/>
      <c r="G389" s="250"/>
      <c r="H389" s="250"/>
    </row>
    <row r="390" spans="1:8">
      <c r="A390" s="249"/>
      <c r="B390" s="250"/>
      <c r="C390" s="250"/>
      <c r="D390" s="250"/>
      <c r="E390" s="250"/>
      <c r="F390" s="250"/>
      <c r="G390" s="250"/>
      <c r="H390" s="250"/>
    </row>
    <row r="391" spans="1:8">
      <c r="A391" s="249"/>
      <c r="B391" s="250"/>
      <c r="C391" s="250"/>
      <c r="D391" s="250"/>
      <c r="E391" s="250"/>
      <c r="F391" s="250"/>
      <c r="G391" s="250"/>
      <c r="H391" s="250"/>
    </row>
    <row r="392" spans="1:8">
      <c r="A392" s="249"/>
      <c r="B392" s="250"/>
      <c r="C392" s="250"/>
      <c r="D392" s="250"/>
      <c r="E392" s="250"/>
      <c r="F392" s="250"/>
      <c r="G392" s="250"/>
      <c r="H392" s="250"/>
    </row>
    <row r="393" spans="1:8">
      <c r="A393" s="249"/>
      <c r="B393" s="250"/>
      <c r="C393" s="250"/>
      <c r="D393" s="250"/>
      <c r="E393" s="250"/>
      <c r="F393" s="250"/>
      <c r="G393" s="250"/>
      <c r="H393" s="250"/>
    </row>
    <row r="394" spans="1:8">
      <c r="A394" s="249"/>
      <c r="B394" s="250"/>
      <c r="C394" s="250"/>
      <c r="D394" s="250"/>
      <c r="E394" s="250"/>
      <c r="F394" s="250"/>
      <c r="G394" s="250"/>
      <c r="H394" s="250"/>
    </row>
    <row r="395" spans="1:8">
      <c r="A395" s="249"/>
      <c r="B395" s="250"/>
      <c r="C395" s="250"/>
      <c r="D395" s="250"/>
      <c r="E395" s="250"/>
      <c r="F395" s="250"/>
      <c r="G395" s="250"/>
      <c r="H395" s="250"/>
    </row>
    <row r="396" spans="1:8">
      <c r="A396" s="249"/>
      <c r="B396" s="250"/>
      <c r="C396" s="250"/>
      <c r="D396" s="250"/>
      <c r="E396" s="250"/>
      <c r="F396" s="250"/>
      <c r="G396" s="250"/>
      <c r="H396" s="250"/>
    </row>
    <row r="397" spans="1:8">
      <c r="A397" s="249"/>
      <c r="B397" s="250"/>
      <c r="C397" s="250"/>
      <c r="D397" s="250"/>
      <c r="E397" s="250"/>
      <c r="F397" s="250"/>
      <c r="G397" s="250"/>
      <c r="H397" s="250"/>
    </row>
    <row r="398" spans="1:8">
      <c r="A398" s="249"/>
      <c r="B398" s="250"/>
      <c r="C398" s="250"/>
      <c r="D398" s="250"/>
      <c r="E398" s="250"/>
      <c r="F398" s="250"/>
      <c r="G398" s="250"/>
      <c r="H398" s="250"/>
    </row>
    <row r="399" spans="1:8">
      <c r="A399" s="249"/>
      <c r="B399" s="250"/>
      <c r="C399" s="250"/>
      <c r="D399" s="250"/>
      <c r="E399" s="250"/>
      <c r="F399" s="250"/>
      <c r="G399" s="250"/>
      <c r="H399" s="250"/>
    </row>
    <row r="400" spans="1:8">
      <c r="A400" s="249"/>
      <c r="B400" s="250"/>
      <c r="C400" s="250"/>
      <c r="D400" s="250"/>
      <c r="E400" s="250"/>
      <c r="F400" s="250"/>
      <c r="G400" s="250"/>
      <c r="H400" s="250"/>
    </row>
    <row r="401" spans="1:8">
      <c r="A401" s="249"/>
      <c r="B401" s="250"/>
      <c r="C401" s="250"/>
      <c r="D401" s="250"/>
      <c r="E401" s="250"/>
      <c r="F401" s="250"/>
      <c r="G401" s="250"/>
      <c r="H401" s="250"/>
    </row>
    <row r="402" spans="1:8">
      <c r="A402" s="249"/>
      <c r="B402" s="250"/>
      <c r="C402" s="250"/>
      <c r="D402" s="250"/>
      <c r="E402" s="250"/>
      <c r="F402" s="250"/>
      <c r="G402" s="250"/>
      <c r="H402" s="250"/>
    </row>
    <row r="403" spans="1:8">
      <c r="A403" s="249"/>
      <c r="B403" s="250"/>
      <c r="C403" s="250"/>
      <c r="D403" s="250"/>
      <c r="E403" s="250"/>
      <c r="F403" s="250"/>
      <c r="G403" s="250"/>
      <c r="H403" s="250"/>
    </row>
    <row r="404" spans="1:8">
      <c r="A404" s="249"/>
      <c r="B404" s="250"/>
      <c r="C404" s="250"/>
      <c r="D404" s="250"/>
      <c r="E404" s="250"/>
      <c r="F404" s="250"/>
      <c r="G404" s="250"/>
      <c r="H404" s="250"/>
    </row>
    <row r="405" spans="1:8">
      <c r="A405" s="249"/>
      <c r="B405" s="250"/>
      <c r="C405" s="250"/>
      <c r="D405" s="250"/>
      <c r="E405" s="250"/>
      <c r="F405" s="250"/>
      <c r="G405" s="250"/>
      <c r="H405" s="250"/>
    </row>
    <row r="406" spans="1:8">
      <c r="A406" s="249"/>
      <c r="B406" s="250"/>
      <c r="C406" s="250"/>
      <c r="D406" s="250"/>
      <c r="E406" s="250"/>
      <c r="F406" s="250"/>
      <c r="G406" s="250"/>
      <c r="H406" s="250"/>
    </row>
    <row r="407" spans="1:8">
      <c r="A407" s="249"/>
      <c r="B407" s="250"/>
      <c r="C407" s="250"/>
      <c r="D407" s="250"/>
      <c r="E407" s="250"/>
      <c r="F407" s="250"/>
      <c r="G407" s="250"/>
      <c r="H407" s="250"/>
    </row>
    <row r="408" spans="1:8">
      <c r="A408" s="249"/>
      <c r="B408" s="250"/>
      <c r="C408" s="250"/>
      <c r="D408" s="250"/>
      <c r="E408" s="250"/>
      <c r="F408" s="250"/>
      <c r="G408" s="250"/>
      <c r="H408" s="250"/>
    </row>
    <row r="409" spans="1:8">
      <c r="A409" s="249"/>
      <c r="B409" s="250"/>
      <c r="C409" s="250"/>
      <c r="D409" s="250"/>
      <c r="E409" s="250"/>
      <c r="F409" s="250"/>
      <c r="G409" s="250"/>
      <c r="H409" s="250"/>
    </row>
    <row r="410" spans="1:8">
      <c r="A410" s="249"/>
      <c r="B410" s="250"/>
      <c r="C410" s="250"/>
      <c r="D410" s="250"/>
      <c r="E410" s="250"/>
      <c r="F410" s="250"/>
      <c r="G410" s="250"/>
      <c r="H410" s="250"/>
    </row>
    <row r="411" spans="1:8">
      <c r="A411" s="249"/>
      <c r="B411" s="250"/>
      <c r="C411" s="250"/>
      <c r="D411" s="250"/>
      <c r="E411" s="250"/>
      <c r="F411" s="250"/>
      <c r="G411" s="250"/>
      <c r="H411" s="250"/>
    </row>
    <row r="412" spans="1:8">
      <c r="A412" s="249"/>
      <c r="B412" s="250"/>
      <c r="C412" s="250"/>
      <c r="D412" s="250"/>
      <c r="E412" s="250"/>
      <c r="F412" s="250"/>
      <c r="G412" s="250"/>
      <c r="H412" s="250"/>
    </row>
    <row r="413" spans="1:8">
      <c r="A413" s="249"/>
      <c r="B413" s="250"/>
      <c r="C413" s="250"/>
      <c r="D413" s="250"/>
      <c r="E413" s="250"/>
      <c r="F413" s="250"/>
      <c r="G413" s="250"/>
      <c r="H413" s="250"/>
    </row>
    <row r="414" spans="1:8">
      <c r="A414" s="249"/>
      <c r="B414" s="250"/>
      <c r="C414" s="250"/>
      <c r="D414" s="250"/>
      <c r="E414" s="250"/>
      <c r="F414" s="250"/>
      <c r="G414" s="250"/>
      <c r="H414" s="250"/>
    </row>
    <row r="415" spans="1:8">
      <c r="A415" s="249"/>
      <c r="B415" s="250"/>
      <c r="C415" s="250"/>
      <c r="D415" s="250"/>
      <c r="E415" s="250"/>
      <c r="F415" s="250"/>
      <c r="G415" s="250"/>
      <c r="H415" s="250"/>
    </row>
    <row r="416" spans="1:8">
      <c r="A416" s="249"/>
      <c r="B416" s="250"/>
      <c r="C416" s="250"/>
      <c r="D416" s="250"/>
      <c r="E416" s="250"/>
      <c r="F416" s="250"/>
      <c r="G416" s="250"/>
      <c r="H416" s="250"/>
    </row>
    <row r="417" spans="1:8">
      <c r="A417" s="249"/>
      <c r="B417" s="250"/>
      <c r="C417" s="250"/>
      <c r="D417" s="250"/>
      <c r="E417" s="250"/>
      <c r="F417" s="250"/>
      <c r="G417" s="250"/>
      <c r="H417" s="250"/>
    </row>
    <row r="418" spans="1:8">
      <c r="A418" s="249"/>
      <c r="B418" s="250"/>
      <c r="C418" s="250"/>
      <c r="D418" s="250"/>
      <c r="E418" s="250"/>
      <c r="F418" s="250"/>
      <c r="G418" s="250"/>
      <c r="H418" s="250"/>
    </row>
    <row r="419" spans="1:8">
      <c r="A419" s="249"/>
      <c r="B419" s="250"/>
      <c r="C419" s="250"/>
      <c r="D419" s="250"/>
      <c r="E419" s="250"/>
      <c r="F419" s="250"/>
      <c r="G419" s="250"/>
      <c r="H419" s="250"/>
    </row>
    <row r="420" spans="1:8">
      <c r="A420" s="249"/>
      <c r="B420" s="250"/>
      <c r="C420" s="250"/>
      <c r="D420" s="250"/>
      <c r="E420" s="250"/>
      <c r="F420" s="250"/>
      <c r="G420" s="250"/>
      <c r="H420" s="250"/>
    </row>
    <row r="421" spans="1:8">
      <c r="A421" s="249"/>
      <c r="B421" s="250"/>
      <c r="C421" s="250"/>
      <c r="D421" s="250"/>
      <c r="E421" s="250"/>
      <c r="F421" s="250"/>
      <c r="G421" s="250"/>
      <c r="H421" s="250"/>
    </row>
    <row r="422" spans="1:8">
      <c r="A422" s="249"/>
      <c r="B422" s="250"/>
      <c r="C422" s="250"/>
      <c r="D422" s="250"/>
      <c r="E422" s="250"/>
      <c r="F422" s="250"/>
      <c r="G422" s="250"/>
      <c r="H422" s="250"/>
    </row>
    <row r="423" spans="1:8">
      <c r="A423" s="249"/>
      <c r="B423" s="250"/>
      <c r="C423" s="250"/>
      <c r="D423" s="250"/>
      <c r="E423" s="250"/>
      <c r="F423" s="250"/>
      <c r="G423" s="250"/>
      <c r="H423" s="250"/>
    </row>
    <row r="424" spans="1:8">
      <c r="A424" s="249"/>
      <c r="B424" s="250"/>
      <c r="C424" s="250"/>
      <c r="D424" s="250"/>
      <c r="E424" s="250"/>
      <c r="F424" s="250"/>
      <c r="G424" s="250"/>
      <c r="H424" s="250"/>
    </row>
    <row r="425" spans="1:8">
      <c r="A425" s="249"/>
      <c r="B425" s="250"/>
      <c r="C425" s="250"/>
      <c r="D425" s="250"/>
      <c r="E425" s="250"/>
      <c r="F425" s="250"/>
      <c r="G425" s="250"/>
      <c r="H425" s="250"/>
    </row>
    <row r="426" spans="1:8">
      <c r="A426" s="249"/>
      <c r="B426" s="250"/>
      <c r="C426" s="250"/>
      <c r="D426" s="250"/>
      <c r="E426" s="250"/>
      <c r="F426" s="250"/>
      <c r="G426" s="250"/>
      <c r="H426" s="250"/>
    </row>
    <row r="427" spans="1:8">
      <c r="A427" s="249"/>
      <c r="B427" s="250"/>
      <c r="C427" s="250"/>
      <c r="D427" s="250"/>
      <c r="E427" s="250"/>
      <c r="F427" s="250"/>
      <c r="G427" s="250"/>
      <c r="H427" s="250"/>
    </row>
    <row r="428" spans="1:8">
      <c r="A428" s="249"/>
      <c r="B428" s="250"/>
      <c r="C428" s="250"/>
      <c r="D428" s="250"/>
      <c r="E428" s="250"/>
      <c r="F428" s="250"/>
      <c r="G428" s="250"/>
      <c r="H428" s="250"/>
    </row>
    <row r="429" spans="1:8">
      <c r="A429" s="249"/>
      <c r="B429" s="250"/>
      <c r="C429" s="250"/>
      <c r="D429" s="250"/>
      <c r="E429" s="250"/>
      <c r="F429" s="250"/>
      <c r="G429" s="250"/>
      <c r="H429" s="250"/>
    </row>
    <row r="430" spans="1:8">
      <c r="A430" s="249"/>
      <c r="B430" s="250"/>
      <c r="C430" s="250"/>
      <c r="D430" s="250"/>
      <c r="E430" s="250"/>
      <c r="F430" s="250"/>
      <c r="G430" s="250"/>
      <c r="H430" s="250"/>
    </row>
    <row r="431" spans="1:8">
      <c r="A431" s="249"/>
      <c r="B431" s="250"/>
      <c r="C431" s="250"/>
      <c r="D431" s="250"/>
      <c r="E431" s="250"/>
      <c r="F431" s="250"/>
      <c r="G431" s="250"/>
      <c r="H431" s="250"/>
    </row>
    <row r="432" spans="1:8">
      <c r="A432" s="249"/>
      <c r="B432" s="250"/>
      <c r="C432" s="250"/>
      <c r="D432" s="250"/>
      <c r="E432" s="250"/>
      <c r="F432" s="250"/>
      <c r="G432" s="250"/>
      <c r="H432" s="250"/>
    </row>
    <row r="433" spans="1:8">
      <c r="A433" s="249"/>
      <c r="B433" s="250"/>
      <c r="C433" s="250"/>
      <c r="D433" s="250"/>
      <c r="E433" s="250"/>
      <c r="F433" s="250"/>
      <c r="G433" s="250"/>
      <c r="H433" s="250"/>
    </row>
    <row r="434" spans="1:8">
      <c r="A434" s="249"/>
      <c r="B434" s="250"/>
      <c r="C434" s="250"/>
      <c r="D434" s="250"/>
      <c r="E434" s="250"/>
      <c r="F434" s="250"/>
      <c r="G434" s="250"/>
      <c r="H434" s="250"/>
    </row>
    <row r="435" spans="1:8">
      <c r="A435" s="249"/>
      <c r="B435" s="250"/>
      <c r="C435" s="250"/>
      <c r="D435" s="250"/>
      <c r="E435" s="250"/>
      <c r="F435" s="250"/>
      <c r="G435" s="250"/>
      <c r="H435" s="250"/>
    </row>
    <row r="436" spans="1:8">
      <c r="A436" s="249"/>
      <c r="B436" s="250"/>
      <c r="C436" s="250"/>
      <c r="D436" s="250"/>
      <c r="E436" s="250"/>
      <c r="F436" s="250"/>
      <c r="G436" s="250"/>
      <c r="H436" s="250"/>
    </row>
    <row r="437" spans="1:8">
      <c r="A437" s="249"/>
      <c r="B437" s="250"/>
      <c r="C437" s="250"/>
      <c r="D437" s="250"/>
      <c r="E437" s="250"/>
      <c r="F437" s="250"/>
      <c r="G437" s="250"/>
      <c r="H437" s="250"/>
    </row>
    <row r="438" spans="1:8">
      <c r="A438" s="249"/>
      <c r="B438" s="250"/>
      <c r="C438" s="250"/>
      <c r="D438" s="250"/>
      <c r="E438" s="250"/>
      <c r="F438" s="250"/>
      <c r="G438" s="250"/>
      <c r="H438" s="250"/>
    </row>
    <row r="439" spans="1:8">
      <c r="A439" s="249"/>
      <c r="B439" s="250"/>
      <c r="C439" s="250"/>
      <c r="D439" s="250"/>
      <c r="E439" s="250"/>
      <c r="F439" s="250"/>
      <c r="G439" s="250"/>
      <c r="H439" s="250"/>
    </row>
    <row r="440" spans="1:8">
      <c r="A440" s="249"/>
      <c r="B440" s="250"/>
      <c r="C440" s="250"/>
      <c r="D440" s="250"/>
      <c r="E440" s="250"/>
      <c r="F440" s="250"/>
      <c r="G440" s="250"/>
      <c r="H440" s="250"/>
    </row>
    <row r="441" spans="1:8">
      <c r="A441" s="249"/>
      <c r="B441" s="250"/>
      <c r="C441" s="250"/>
      <c r="D441" s="250"/>
      <c r="E441" s="250"/>
      <c r="F441" s="250"/>
      <c r="G441" s="250"/>
      <c r="H441" s="250"/>
    </row>
    <row r="442" spans="1:8">
      <c r="A442" s="249"/>
      <c r="B442" s="250"/>
      <c r="C442" s="250"/>
      <c r="D442" s="250"/>
      <c r="E442" s="250"/>
      <c r="F442" s="250"/>
      <c r="G442" s="250"/>
      <c r="H442" s="250"/>
    </row>
    <row r="443" spans="1:8">
      <c r="A443" s="249"/>
      <c r="B443" s="250"/>
      <c r="C443" s="250"/>
      <c r="D443" s="250"/>
      <c r="E443" s="250"/>
      <c r="F443" s="250"/>
      <c r="G443" s="250"/>
      <c r="H443" s="250"/>
    </row>
    <row r="444" spans="1:8">
      <c r="A444" s="249"/>
      <c r="B444" s="250"/>
      <c r="C444" s="250"/>
      <c r="D444" s="250"/>
      <c r="E444" s="250"/>
      <c r="F444" s="250"/>
      <c r="G444" s="250"/>
      <c r="H444" s="250"/>
    </row>
    <row r="445" spans="1:8">
      <c r="A445" s="249"/>
      <c r="B445" s="250"/>
      <c r="C445" s="250"/>
      <c r="D445" s="250"/>
      <c r="E445" s="250"/>
      <c r="F445" s="250"/>
      <c r="G445" s="250"/>
      <c r="H445" s="250"/>
    </row>
    <row r="446" spans="1:8">
      <c r="A446" s="249"/>
      <c r="B446" s="250"/>
      <c r="C446" s="250"/>
      <c r="D446" s="250"/>
      <c r="E446" s="250"/>
      <c r="F446" s="250"/>
      <c r="G446" s="250"/>
      <c r="H446" s="250"/>
    </row>
    <row r="447" spans="1:8">
      <c r="A447" s="249"/>
      <c r="B447" s="250"/>
      <c r="C447" s="250"/>
      <c r="D447" s="250"/>
      <c r="E447" s="250"/>
      <c r="F447" s="250"/>
      <c r="G447" s="250"/>
      <c r="H447" s="250"/>
    </row>
    <row r="448" spans="1:8">
      <c r="A448" s="249"/>
      <c r="B448" s="250"/>
      <c r="C448" s="250"/>
      <c r="D448" s="250"/>
      <c r="E448" s="250"/>
      <c r="F448" s="250"/>
      <c r="G448" s="250"/>
      <c r="H448" s="250"/>
    </row>
    <row r="449" spans="1:8">
      <c r="A449" s="249"/>
      <c r="B449" s="250"/>
      <c r="C449" s="250"/>
      <c r="D449" s="250"/>
      <c r="E449" s="250"/>
      <c r="F449" s="250"/>
      <c r="G449" s="250"/>
      <c r="H449" s="250"/>
    </row>
    <row r="450" spans="1:8">
      <c r="A450" s="249"/>
      <c r="B450" s="250"/>
      <c r="C450" s="250"/>
      <c r="D450" s="250"/>
      <c r="E450" s="250"/>
      <c r="F450" s="250"/>
      <c r="G450" s="250"/>
      <c r="H450" s="250"/>
    </row>
    <row r="451" spans="1:8">
      <c r="A451" s="249"/>
      <c r="B451" s="250"/>
      <c r="C451" s="250"/>
      <c r="D451" s="250"/>
      <c r="E451" s="250"/>
      <c r="F451" s="250"/>
      <c r="G451" s="250"/>
      <c r="H451" s="250"/>
    </row>
    <row r="452" spans="1:8">
      <c r="A452" s="249"/>
      <c r="B452" s="250"/>
      <c r="C452" s="250"/>
      <c r="D452" s="250"/>
      <c r="E452" s="250"/>
      <c r="F452" s="250"/>
      <c r="G452" s="250"/>
      <c r="H452" s="250"/>
    </row>
    <row r="453" spans="1:8">
      <c r="A453" s="249"/>
      <c r="B453" s="250"/>
      <c r="C453" s="250"/>
      <c r="D453" s="250"/>
      <c r="E453" s="250"/>
      <c r="F453" s="250"/>
      <c r="G453" s="250"/>
      <c r="H453" s="250"/>
    </row>
    <row r="454" spans="1:8">
      <c r="A454" s="249"/>
      <c r="B454" s="250"/>
      <c r="C454" s="250"/>
      <c r="D454" s="250"/>
      <c r="E454" s="250"/>
      <c r="F454" s="250"/>
      <c r="G454" s="250"/>
      <c r="H454" s="250"/>
    </row>
    <row r="455" spans="1:8">
      <c r="A455" s="249"/>
      <c r="B455" s="250"/>
      <c r="C455" s="250"/>
      <c r="D455" s="250"/>
      <c r="E455" s="250"/>
      <c r="F455" s="250"/>
      <c r="G455" s="250"/>
      <c r="H455" s="250"/>
    </row>
    <row r="456" spans="1:8">
      <c r="A456" s="249"/>
      <c r="B456" s="250"/>
      <c r="C456" s="250"/>
      <c r="D456" s="250"/>
      <c r="E456" s="250"/>
      <c r="F456" s="250"/>
      <c r="G456" s="250"/>
      <c r="H456" s="250"/>
    </row>
    <row r="457" spans="1:8">
      <c r="A457" s="249"/>
      <c r="B457" s="250"/>
      <c r="C457" s="250"/>
      <c r="D457" s="250"/>
      <c r="E457" s="250"/>
      <c r="F457" s="250"/>
      <c r="G457" s="250"/>
      <c r="H457" s="250"/>
    </row>
    <row r="458" spans="1:8">
      <c r="A458" s="249"/>
      <c r="B458" s="250"/>
      <c r="C458" s="250"/>
      <c r="D458" s="250"/>
      <c r="E458" s="250"/>
      <c r="F458" s="250"/>
      <c r="G458" s="250"/>
      <c r="H458" s="250"/>
    </row>
    <row r="459" spans="1:8">
      <c r="A459" s="249"/>
      <c r="B459" s="250"/>
      <c r="C459" s="250"/>
      <c r="D459" s="250"/>
      <c r="E459" s="250"/>
      <c r="F459" s="250"/>
      <c r="G459" s="250"/>
      <c r="H459" s="250"/>
    </row>
    <row r="460" spans="1:8">
      <c r="A460" s="249"/>
      <c r="B460" s="250"/>
      <c r="C460" s="250"/>
      <c r="D460" s="250"/>
      <c r="E460" s="250"/>
      <c r="F460" s="250"/>
      <c r="G460" s="250"/>
      <c r="H460" s="250"/>
    </row>
    <row r="461" spans="1:8">
      <c r="A461" s="249"/>
      <c r="B461" s="250"/>
      <c r="C461" s="250"/>
      <c r="D461" s="250"/>
      <c r="E461" s="250"/>
      <c r="F461" s="250"/>
      <c r="G461" s="250"/>
      <c r="H461" s="250"/>
    </row>
    <row r="462" spans="1:8">
      <c r="A462" s="249"/>
      <c r="B462" s="250"/>
      <c r="C462" s="250"/>
      <c r="D462" s="250"/>
      <c r="E462" s="250"/>
      <c r="F462" s="250"/>
      <c r="G462" s="250"/>
      <c r="H462" s="250"/>
    </row>
    <row r="463" spans="1:8">
      <c r="A463" s="249"/>
      <c r="B463" s="250"/>
      <c r="C463" s="250"/>
      <c r="D463" s="250"/>
      <c r="E463" s="250"/>
      <c r="F463" s="250"/>
      <c r="G463" s="250"/>
      <c r="H463" s="250"/>
    </row>
    <row r="464" spans="1:8">
      <c r="A464" s="249"/>
      <c r="B464" s="250"/>
      <c r="C464" s="250"/>
      <c r="D464" s="250"/>
      <c r="E464" s="250"/>
      <c r="F464" s="250"/>
      <c r="G464" s="250"/>
      <c r="H464" s="250"/>
    </row>
    <row r="465" spans="1:8">
      <c r="A465" s="249"/>
      <c r="B465" s="250"/>
      <c r="C465" s="250"/>
      <c r="D465" s="250"/>
      <c r="E465" s="250"/>
      <c r="F465" s="250"/>
      <c r="G465" s="250"/>
      <c r="H465" s="250"/>
    </row>
    <row r="466" spans="1:8">
      <c r="A466" s="249"/>
      <c r="B466" s="250"/>
      <c r="C466" s="250"/>
      <c r="D466" s="250"/>
      <c r="E466" s="250"/>
      <c r="F466" s="250"/>
      <c r="G466" s="250"/>
      <c r="H466" s="250"/>
    </row>
    <row r="467" spans="1:8">
      <c r="A467" s="249"/>
      <c r="B467" s="250"/>
      <c r="C467" s="250"/>
      <c r="D467" s="250"/>
      <c r="E467" s="250"/>
      <c r="F467" s="250"/>
      <c r="G467" s="250"/>
      <c r="H467" s="250"/>
    </row>
    <row r="468" spans="1:8">
      <c r="A468" s="249"/>
      <c r="B468" s="250"/>
      <c r="C468" s="250"/>
      <c r="D468" s="250"/>
      <c r="E468" s="250"/>
      <c r="F468" s="250"/>
      <c r="G468" s="250"/>
      <c r="H468" s="250"/>
    </row>
    <row r="469" spans="1:8">
      <c r="A469" s="249"/>
      <c r="B469" s="250"/>
      <c r="C469" s="250"/>
      <c r="D469" s="250"/>
      <c r="E469" s="250"/>
      <c r="F469" s="250"/>
      <c r="G469" s="250"/>
      <c r="H469" s="250"/>
    </row>
    <row r="470" spans="1:8">
      <c r="A470" s="249"/>
      <c r="B470" s="250"/>
      <c r="C470" s="250"/>
      <c r="D470" s="250"/>
      <c r="E470" s="250"/>
      <c r="F470" s="250"/>
      <c r="G470" s="250"/>
      <c r="H470" s="250"/>
    </row>
    <row r="471" spans="1:8">
      <c r="A471" s="249"/>
      <c r="B471" s="250"/>
      <c r="C471" s="250"/>
      <c r="D471" s="250"/>
      <c r="E471" s="250"/>
      <c r="F471" s="250"/>
      <c r="G471" s="250"/>
      <c r="H471" s="250"/>
    </row>
    <row r="472" spans="1:8">
      <c r="A472" s="249"/>
      <c r="B472" s="250"/>
      <c r="C472" s="250"/>
      <c r="D472" s="250"/>
      <c r="E472" s="250"/>
      <c r="F472" s="250"/>
      <c r="G472" s="250"/>
      <c r="H472" s="250"/>
    </row>
    <row r="473" spans="1:8">
      <c r="A473" s="249"/>
      <c r="B473" s="250"/>
      <c r="C473" s="250"/>
      <c r="D473" s="250"/>
      <c r="E473" s="250"/>
      <c r="F473" s="250"/>
      <c r="G473" s="250"/>
      <c r="H473" s="250"/>
    </row>
    <row r="474" spans="1:8">
      <c r="A474" s="249"/>
      <c r="B474" s="250"/>
      <c r="C474" s="250"/>
      <c r="D474" s="250"/>
      <c r="E474" s="250"/>
      <c r="F474" s="250"/>
      <c r="G474" s="250"/>
      <c r="H474" s="250"/>
    </row>
    <row r="475" spans="1:8">
      <c r="A475" s="249"/>
      <c r="B475" s="250"/>
      <c r="C475" s="250"/>
      <c r="D475" s="250"/>
      <c r="E475" s="250"/>
      <c r="F475" s="250"/>
      <c r="G475" s="250"/>
      <c r="H475" s="250"/>
    </row>
    <row r="476" spans="1:8">
      <c r="A476" s="249"/>
      <c r="B476" s="250"/>
      <c r="C476" s="250"/>
      <c r="D476" s="250"/>
      <c r="E476" s="250"/>
      <c r="F476" s="250"/>
      <c r="G476" s="250"/>
      <c r="H476" s="250"/>
    </row>
    <row r="477" spans="1:8">
      <c r="A477" s="249"/>
      <c r="B477" s="250"/>
      <c r="C477" s="250"/>
      <c r="D477" s="250"/>
      <c r="E477" s="250"/>
      <c r="F477" s="250"/>
      <c r="G477" s="250"/>
      <c r="H477" s="250"/>
    </row>
    <row r="478" spans="1:8">
      <c r="A478" s="249"/>
      <c r="B478" s="250"/>
      <c r="C478" s="250"/>
      <c r="D478" s="250"/>
      <c r="E478" s="250"/>
      <c r="F478" s="250"/>
      <c r="G478" s="250"/>
      <c r="H478" s="250"/>
    </row>
    <row r="479" spans="1:8">
      <c r="A479" s="249"/>
      <c r="B479" s="250"/>
      <c r="C479" s="250"/>
      <c r="D479" s="250"/>
      <c r="E479" s="250"/>
      <c r="F479" s="250"/>
      <c r="G479" s="250"/>
      <c r="H479" s="250"/>
    </row>
    <row r="480" spans="1:8">
      <c r="A480" s="249"/>
      <c r="B480" s="250"/>
      <c r="C480" s="250"/>
      <c r="D480" s="250"/>
      <c r="E480" s="250"/>
      <c r="F480" s="250"/>
      <c r="G480" s="250"/>
      <c r="H480" s="250"/>
    </row>
    <row r="481" spans="1:8">
      <c r="A481" s="249"/>
      <c r="B481" s="250"/>
      <c r="C481" s="250"/>
      <c r="D481" s="250"/>
      <c r="E481" s="250"/>
      <c r="F481" s="250"/>
      <c r="G481" s="250"/>
      <c r="H481" s="250"/>
    </row>
    <row r="482" spans="1:8">
      <c r="A482" s="249"/>
      <c r="B482" s="250"/>
      <c r="C482" s="250"/>
      <c r="D482" s="250"/>
      <c r="E482" s="250"/>
      <c r="F482" s="250"/>
      <c r="G482" s="250"/>
      <c r="H482" s="250"/>
    </row>
    <row r="483" spans="1:8">
      <c r="A483" s="249"/>
      <c r="B483" s="250"/>
      <c r="C483" s="250"/>
      <c r="D483" s="250"/>
      <c r="E483" s="250"/>
      <c r="F483" s="250"/>
      <c r="G483" s="250"/>
      <c r="H483" s="250"/>
    </row>
    <row r="484" spans="1:8">
      <c r="A484" s="249"/>
      <c r="B484" s="250"/>
      <c r="C484" s="250"/>
      <c r="D484" s="250"/>
      <c r="E484" s="250"/>
      <c r="F484" s="250"/>
      <c r="G484" s="250"/>
      <c r="H484" s="250"/>
    </row>
    <row r="485" spans="1:8">
      <c r="A485" s="249"/>
      <c r="B485" s="250"/>
      <c r="C485" s="250"/>
      <c r="D485" s="250"/>
      <c r="E485" s="250"/>
      <c r="F485" s="250"/>
      <c r="G485" s="250"/>
      <c r="H485" s="250"/>
    </row>
    <row r="486" spans="1:8">
      <c r="A486" s="249"/>
      <c r="B486" s="250"/>
      <c r="C486" s="250"/>
      <c r="D486" s="250"/>
      <c r="E486" s="250"/>
      <c r="F486" s="250"/>
      <c r="G486" s="250"/>
      <c r="H486" s="250"/>
    </row>
    <row r="487" spans="1:8">
      <c r="A487" s="249"/>
      <c r="B487" s="250"/>
      <c r="C487" s="250"/>
      <c r="D487" s="250"/>
      <c r="E487" s="250"/>
      <c r="F487" s="250"/>
      <c r="G487" s="250"/>
      <c r="H487" s="250"/>
    </row>
    <row r="488" spans="1:8">
      <c r="A488" s="249"/>
      <c r="B488" s="250"/>
      <c r="C488" s="250"/>
      <c r="D488" s="250"/>
      <c r="E488" s="250"/>
      <c r="F488" s="250"/>
      <c r="G488" s="250"/>
      <c r="H488" s="250"/>
    </row>
    <row r="489" spans="1:8">
      <c r="A489" s="249"/>
      <c r="B489" s="250"/>
      <c r="C489" s="250"/>
      <c r="D489" s="250"/>
      <c r="E489" s="250"/>
      <c r="F489" s="250"/>
      <c r="G489" s="250"/>
      <c r="H489" s="250"/>
    </row>
    <row r="490" spans="1:8">
      <c r="A490" s="249"/>
      <c r="B490" s="250"/>
      <c r="C490" s="250"/>
      <c r="D490" s="250"/>
      <c r="E490" s="250"/>
      <c r="F490" s="250"/>
      <c r="G490" s="250"/>
      <c r="H490" s="250"/>
    </row>
    <row r="491" spans="1:8">
      <c r="A491" s="249"/>
      <c r="B491" s="250"/>
      <c r="C491" s="250"/>
      <c r="D491" s="250"/>
      <c r="E491" s="250"/>
      <c r="F491" s="250"/>
      <c r="G491" s="250"/>
      <c r="H491" s="250"/>
    </row>
    <row r="492" spans="1:8">
      <c r="A492" s="249"/>
      <c r="B492" s="250"/>
      <c r="C492" s="250"/>
      <c r="D492" s="250"/>
      <c r="E492" s="250"/>
      <c r="F492" s="250"/>
      <c r="G492" s="250"/>
      <c r="H492" s="250"/>
    </row>
    <row r="493" spans="1:8">
      <c r="A493" s="249"/>
      <c r="B493" s="250"/>
      <c r="C493" s="250"/>
      <c r="D493" s="250"/>
      <c r="E493" s="250"/>
      <c r="F493" s="250"/>
      <c r="G493" s="250"/>
      <c r="H493" s="250"/>
    </row>
    <row r="494" spans="1:8">
      <c r="A494" s="249"/>
      <c r="B494" s="250"/>
      <c r="C494" s="250"/>
      <c r="D494" s="250"/>
      <c r="E494" s="250"/>
      <c r="F494" s="250"/>
      <c r="G494" s="250"/>
      <c r="H494" s="250"/>
    </row>
    <row r="495" spans="1:8">
      <c r="A495" s="249"/>
      <c r="B495" s="250"/>
      <c r="C495" s="250"/>
      <c r="D495" s="250"/>
      <c r="E495" s="250"/>
      <c r="F495" s="250"/>
      <c r="G495" s="250"/>
      <c r="H495" s="250"/>
    </row>
    <row r="496" spans="1:8">
      <c r="A496" s="249"/>
      <c r="B496" s="250"/>
      <c r="C496" s="250"/>
      <c r="D496" s="250"/>
      <c r="E496" s="250"/>
      <c r="F496" s="250"/>
      <c r="G496" s="250"/>
      <c r="H496" s="250"/>
    </row>
    <row r="497" spans="1:8">
      <c r="A497" s="249"/>
      <c r="B497" s="250"/>
      <c r="C497" s="250"/>
      <c r="D497" s="250"/>
      <c r="E497" s="250"/>
      <c r="F497" s="250"/>
      <c r="G497" s="250"/>
      <c r="H497" s="250"/>
    </row>
    <row r="498" spans="1:8">
      <c r="A498" s="249"/>
      <c r="B498" s="250"/>
      <c r="C498" s="250"/>
      <c r="D498" s="250"/>
      <c r="E498" s="250"/>
      <c r="F498" s="250"/>
      <c r="G498" s="250"/>
      <c r="H498" s="250"/>
    </row>
    <row r="499" spans="1:8">
      <c r="A499" s="249"/>
      <c r="B499" s="250"/>
      <c r="C499" s="250"/>
      <c r="D499" s="250"/>
      <c r="E499" s="250"/>
      <c r="F499" s="250"/>
      <c r="G499" s="250"/>
      <c r="H499" s="250"/>
    </row>
    <row r="500" spans="1:8">
      <c r="A500" s="249"/>
      <c r="B500" s="250"/>
      <c r="C500" s="250"/>
      <c r="D500" s="250"/>
      <c r="E500" s="250"/>
      <c r="F500" s="250"/>
      <c r="G500" s="250"/>
      <c r="H500" s="250"/>
    </row>
    <row r="501" spans="1:8">
      <c r="A501" s="249"/>
      <c r="B501" s="250"/>
      <c r="C501" s="250"/>
      <c r="D501" s="250"/>
      <c r="E501" s="250"/>
      <c r="F501" s="250"/>
      <c r="G501" s="250"/>
      <c r="H501" s="250"/>
    </row>
    <row r="502" spans="1:8">
      <c r="A502" s="249"/>
      <c r="B502" s="250"/>
      <c r="C502" s="250"/>
      <c r="D502" s="250"/>
      <c r="E502" s="250"/>
      <c r="F502" s="250"/>
      <c r="G502" s="250"/>
      <c r="H502" s="250"/>
    </row>
    <row r="503" spans="1:8">
      <c r="A503" s="249"/>
      <c r="B503" s="250"/>
      <c r="C503" s="250"/>
      <c r="D503" s="250"/>
      <c r="E503" s="250"/>
      <c r="F503" s="250"/>
      <c r="G503" s="250"/>
      <c r="H503" s="250"/>
    </row>
    <row r="504" spans="1:8">
      <c r="A504" s="249"/>
      <c r="B504" s="250"/>
      <c r="C504" s="250"/>
      <c r="D504" s="250"/>
      <c r="E504" s="250"/>
      <c r="F504" s="250"/>
      <c r="G504" s="250"/>
      <c r="H504" s="250"/>
    </row>
    <row r="505" spans="1:8">
      <c r="A505" s="249"/>
      <c r="B505" s="250"/>
      <c r="C505" s="250"/>
      <c r="D505" s="250"/>
      <c r="E505" s="250"/>
      <c r="F505" s="250"/>
      <c r="G505" s="250"/>
      <c r="H505" s="250"/>
    </row>
    <row r="506" spans="1:8">
      <c r="A506" s="249"/>
      <c r="B506" s="250"/>
      <c r="C506" s="250"/>
      <c r="D506" s="250"/>
      <c r="E506" s="250"/>
      <c r="F506" s="250"/>
      <c r="G506" s="250"/>
      <c r="H506" s="250"/>
    </row>
    <row r="507" spans="1:8">
      <c r="A507" s="249"/>
      <c r="B507" s="250"/>
      <c r="C507" s="250"/>
      <c r="D507" s="250"/>
      <c r="E507" s="250"/>
      <c r="F507" s="250"/>
      <c r="G507" s="250"/>
      <c r="H507" s="250"/>
    </row>
    <row r="508" spans="1:8">
      <c r="A508" s="249"/>
      <c r="B508" s="250"/>
      <c r="C508" s="250"/>
      <c r="D508" s="250"/>
      <c r="E508" s="250"/>
      <c r="F508" s="250"/>
      <c r="G508" s="250"/>
      <c r="H508" s="250"/>
    </row>
    <row r="509" spans="1:8">
      <c r="A509" s="249"/>
      <c r="B509" s="250"/>
      <c r="C509" s="250"/>
      <c r="D509" s="250"/>
      <c r="E509" s="250"/>
      <c r="F509" s="250"/>
      <c r="G509" s="250"/>
      <c r="H509" s="250"/>
    </row>
    <row r="510" spans="1:8">
      <c r="A510" s="249"/>
      <c r="B510" s="250"/>
      <c r="C510" s="250"/>
      <c r="D510" s="250"/>
      <c r="E510" s="250"/>
      <c r="F510" s="250"/>
      <c r="G510" s="250"/>
      <c r="H510" s="250"/>
    </row>
    <row r="511" spans="1:8">
      <c r="A511" s="249"/>
      <c r="B511" s="250"/>
      <c r="C511" s="250"/>
      <c r="D511" s="250"/>
      <c r="E511" s="250"/>
      <c r="F511" s="250"/>
      <c r="G511" s="250"/>
      <c r="H511" s="250"/>
    </row>
    <row r="512" spans="1:8">
      <c r="A512" s="249"/>
      <c r="B512" s="250"/>
      <c r="C512" s="250"/>
      <c r="D512" s="250"/>
      <c r="E512" s="250"/>
      <c r="F512" s="250"/>
      <c r="G512" s="250"/>
      <c r="H512" s="250"/>
    </row>
    <row r="513" spans="1:8">
      <c r="A513" s="249"/>
      <c r="B513" s="250"/>
      <c r="C513" s="250"/>
      <c r="D513" s="250"/>
      <c r="E513" s="250"/>
      <c r="F513" s="250"/>
      <c r="G513" s="250"/>
      <c r="H513" s="250"/>
    </row>
    <row r="514" spans="1:8">
      <c r="A514" s="249"/>
      <c r="B514" s="250"/>
      <c r="C514" s="250"/>
      <c r="D514" s="250"/>
      <c r="E514" s="250"/>
      <c r="F514" s="250"/>
      <c r="G514" s="250"/>
      <c r="H514" s="250"/>
    </row>
    <row r="515" spans="1:8">
      <c r="A515" s="249"/>
      <c r="B515" s="250"/>
      <c r="C515" s="250"/>
      <c r="D515" s="250"/>
      <c r="E515" s="250"/>
      <c r="F515" s="250"/>
      <c r="G515" s="250"/>
      <c r="H515" s="250"/>
    </row>
    <row r="516" spans="1:8">
      <c r="A516" s="249"/>
      <c r="B516" s="250"/>
      <c r="C516" s="250"/>
      <c r="D516" s="250"/>
      <c r="E516" s="250"/>
      <c r="F516" s="250"/>
      <c r="G516" s="250"/>
      <c r="H516" s="250"/>
    </row>
    <row r="517" spans="1:8">
      <c r="A517" s="249"/>
      <c r="B517" s="250"/>
      <c r="C517" s="250"/>
      <c r="D517" s="250"/>
      <c r="E517" s="250"/>
      <c r="F517" s="250"/>
      <c r="G517" s="250"/>
      <c r="H517" s="250"/>
    </row>
    <row r="518" spans="1:8">
      <c r="A518" s="249"/>
      <c r="B518" s="250"/>
      <c r="C518" s="250"/>
      <c r="D518" s="250"/>
      <c r="E518" s="250"/>
      <c r="F518" s="250"/>
      <c r="G518" s="250"/>
      <c r="H518" s="250"/>
    </row>
    <row r="519" spans="1:8">
      <c r="A519" s="249"/>
      <c r="B519" s="250"/>
      <c r="C519" s="250"/>
      <c r="D519" s="250"/>
      <c r="E519" s="250"/>
      <c r="F519" s="250"/>
      <c r="G519" s="250"/>
      <c r="H519" s="250"/>
    </row>
    <row r="520" spans="1:8">
      <c r="A520" s="249"/>
      <c r="B520" s="250"/>
      <c r="C520" s="250"/>
      <c r="D520" s="250"/>
      <c r="E520" s="250"/>
      <c r="F520" s="250"/>
      <c r="G520" s="250"/>
      <c r="H520" s="250"/>
    </row>
    <row r="521" spans="1:8">
      <c r="A521" s="249"/>
      <c r="B521" s="250"/>
      <c r="C521" s="250"/>
      <c r="D521" s="250"/>
      <c r="E521" s="250"/>
      <c r="F521" s="250"/>
      <c r="G521" s="250"/>
      <c r="H521" s="250"/>
    </row>
    <row r="522" spans="1:8">
      <c r="A522" s="249"/>
      <c r="B522" s="250"/>
      <c r="C522" s="250"/>
      <c r="D522" s="250"/>
      <c r="E522" s="250"/>
      <c r="F522" s="250"/>
      <c r="G522" s="250"/>
      <c r="H522" s="250"/>
    </row>
    <row r="523" spans="1:8">
      <c r="A523" s="249"/>
      <c r="B523" s="250"/>
      <c r="C523" s="250"/>
      <c r="D523" s="250"/>
      <c r="E523" s="250"/>
      <c r="F523" s="250"/>
      <c r="G523" s="250"/>
      <c r="H523" s="250"/>
    </row>
    <row r="524" spans="1:8">
      <c r="A524" s="249"/>
      <c r="B524" s="250"/>
      <c r="C524" s="250"/>
      <c r="D524" s="250"/>
      <c r="E524" s="250"/>
      <c r="F524" s="250"/>
      <c r="G524" s="250"/>
      <c r="H524" s="250"/>
    </row>
    <row r="525" spans="1:8">
      <c r="A525" s="249"/>
      <c r="B525" s="250"/>
      <c r="C525" s="250"/>
      <c r="D525" s="250"/>
      <c r="E525" s="250"/>
      <c r="F525" s="250"/>
      <c r="G525" s="250"/>
      <c r="H525" s="250"/>
    </row>
    <row r="526" spans="1:8">
      <c r="A526" s="249"/>
      <c r="B526" s="250"/>
      <c r="C526" s="250"/>
      <c r="D526" s="250"/>
      <c r="E526" s="250"/>
      <c r="F526" s="250"/>
      <c r="G526" s="250"/>
      <c r="H526" s="250"/>
    </row>
    <row r="527" spans="1:8">
      <c r="A527" s="249"/>
      <c r="B527" s="250"/>
      <c r="C527" s="250"/>
      <c r="D527" s="250"/>
      <c r="E527" s="250"/>
      <c r="F527" s="250"/>
      <c r="G527" s="250"/>
      <c r="H527" s="250"/>
    </row>
    <row r="528" spans="1:8">
      <c r="A528" s="249"/>
      <c r="B528" s="250"/>
      <c r="C528" s="250"/>
      <c r="D528" s="250"/>
      <c r="E528" s="250"/>
      <c r="F528" s="250"/>
      <c r="G528" s="250"/>
      <c r="H528" s="250"/>
    </row>
    <row r="529" spans="1:8">
      <c r="A529" s="249"/>
      <c r="B529" s="250"/>
      <c r="C529" s="250"/>
      <c r="D529" s="250"/>
      <c r="E529" s="250"/>
      <c r="F529" s="250"/>
      <c r="G529" s="250"/>
      <c r="H529" s="250"/>
    </row>
    <row r="530" spans="1:8">
      <c r="A530" s="249"/>
      <c r="B530" s="250"/>
      <c r="C530" s="250"/>
      <c r="D530" s="250"/>
      <c r="E530" s="250"/>
      <c r="F530" s="250"/>
      <c r="G530" s="250"/>
      <c r="H530" s="250"/>
    </row>
    <row r="531" spans="1:8">
      <c r="A531" s="249"/>
      <c r="B531" s="250"/>
      <c r="C531" s="250"/>
      <c r="D531" s="250"/>
      <c r="E531" s="250"/>
      <c r="F531" s="250"/>
      <c r="G531" s="250"/>
      <c r="H531" s="250"/>
    </row>
    <row r="532" spans="1:8">
      <c r="A532" s="249"/>
      <c r="B532" s="250"/>
      <c r="C532" s="250"/>
      <c r="D532" s="250"/>
      <c r="E532" s="250"/>
      <c r="F532" s="250"/>
      <c r="G532" s="250"/>
      <c r="H532" s="250"/>
    </row>
    <row r="533" spans="1:8">
      <c r="A533" s="249"/>
      <c r="B533" s="250"/>
      <c r="C533" s="250"/>
      <c r="D533" s="250"/>
      <c r="E533" s="250"/>
      <c r="F533" s="250"/>
      <c r="G533" s="250"/>
      <c r="H533" s="250"/>
    </row>
    <row r="534" spans="1:8">
      <c r="A534" s="249"/>
      <c r="B534" s="250"/>
      <c r="C534" s="250"/>
      <c r="D534" s="250"/>
      <c r="E534" s="250"/>
      <c r="F534" s="250"/>
      <c r="G534" s="250"/>
      <c r="H534" s="250"/>
    </row>
    <row r="535" spans="1:8">
      <c r="A535" s="249"/>
      <c r="B535" s="250"/>
      <c r="C535" s="250"/>
      <c r="D535" s="250"/>
      <c r="E535" s="250"/>
      <c r="F535" s="250"/>
      <c r="G535" s="250"/>
      <c r="H535" s="250"/>
    </row>
    <row r="536" spans="1:8">
      <c r="A536" s="249"/>
      <c r="B536" s="250"/>
      <c r="C536" s="250"/>
      <c r="D536" s="250"/>
      <c r="E536" s="250"/>
      <c r="F536" s="250"/>
      <c r="G536" s="250"/>
      <c r="H536" s="250"/>
    </row>
    <row r="537" spans="1:8">
      <c r="A537" s="249"/>
      <c r="B537" s="250"/>
      <c r="C537" s="250"/>
      <c r="D537" s="250"/>
      <c r="E537" s="250"/>
      <c r="F537" s="250"/>
      <c r="G537" s="250"/>
      <c r="H537" s="250"/>
    </row>
    <row r="538" spans="1:8">
      <c r="A538" s="249"/>
      <c r="B538" s="250"/>
      <c r="C538" s="250"/>
      <c r="D538" s="250"/>
      <c r="E538" s="250"/>
      <c r="F538" s="250"/>
      <c r="G538" s="250"/>
      <c r="H538" s="250"/>
    </row>
    <row r="539" spans="1:8">
      <c r="A539" s="249"/>
      <c r="B539" s="250"/>
      <c r="C539" s="250"/>
      <c r="D539" s="250"/>
      <c r="E539" s="250"/>
      <c r="F539" s="250"/>
      <c r="G539" s="250"/>
      <c r="H539" s="250"/>
    </row>
    <row r="540" spans="1:8">
      <c r="A540" s="249"/>
      <c r="B540" s="250"/>
      <c r="C540" s="250"/>
      <c r="D540" s="250"/>
      <c r="E540" s="250"/>
      <c r="F540" s="250"/>
      <c r="G540" s="250"/>
      <c r="H540" s="250"/>
    </row>
    <row r="541" spans="1:8">
      <c r="A541" s="249"/>
      <c r="B541" s="250"/>
      <c r="C541" s="250"/>
      <c r="D541" s="250"/>
      <c r="E541" s="250"/>
      <c r="F541" s="250"/>
      <c r="G541" s="250"/>
      <c r="H541" s="250"/>
    </row>
    <row r="542" spans="1:8">
      <c r="A542" s="249"/>
      <c r="B542" s="250"/>
      <c r="C542" s="250"/>
      <c r="D542" s="250"/>
      <c r="E542" s="250"/>
      <c r="F542" s="250"/>
      <c r="G542" s="250"/>
      <c r="H542" s="250"/>
    </row>
    <row r="543" spans="1:8">
      <c r="A543" s="249"/>
      <c r="B543" s="250"/>
      <c r="C543" s="250"/>
      <c r="D543" s="250"/>
      <c r="E543" s="250"/>
      <c r="F543" s="250"/>
      <c r="G543" s="250"/>
      <c r="H543" s="250"/>
    </row>
    <row r="544" spans="1:8">
      <c r="A544" s="249"/>
      <c r="B544" s="250"/>
      <c r="C544" s="250"/>
      <c r="D544" s="250"/>
      <c r="E544" s="250"/>
      <c r="F544" s="250"/>
      <c r="G544" s="250"/>
      <c r="H544" s="250"/>
    </row>
    <row r="545" spans="1:8">
      <c r="A545" s="249"/>
      <c r="B545" s="250"/>
      <c r="C545" s="250"/>
      <c r="D545" s="250"/>
      <c r="E545" s="250"/>
      <c r="F545" s="250"/>
      <c r="G545" s="250"/>
      <c r="H545" s="250"/>
    </row>
    <row r="546" spans="1:8">
      <c r="A546" s="249"/>
      <c r="B546" s="250"/>
      <c r="C546" s="250"/>
      <c r="D546" s="250"/>
      <c r="E546" s="250"/>
      <c r="F546" s="250"/>
      <c r="G546" s="250"/>
      <c r="H546" s="250"/>
    </row>
    <row r="547" spans="1:8">
      <c r="A547" s="249"/>
      <c r="B547" s="250"/>
      <c r="C547" s="250"/>
      <c r="D547" s="250"/>
      <c r="E547" s="250"/>
      <c r="F547" s="250"/>
      <c r="G547" s="250"/>
      <c r="H547" s="250"/>
    </row>
    <row r="548" spans="1:8">
      <c r="A548" s="249"/>
      <c r="B548" s="250"/>
      <c r="C548" s="250"/>
      <c r="D548" s="250"/>
      <c r="E548" s="250"/>
      <c r="F548" s="250"/>
      <c r="G548" s="250"/>
      <c r="H548" s="250"/>
    </row>
    <row r="549" spans="1:8">
      <c r="A549" s="249"/>
      <c r="B549" s="250"/>
      <c r="C549" s="250"/>
      <c r="D549" s="250"/>
      <c r="E549" s="250"/>
      <c r="F549" s="250"/>
      <c r="G549" s="250"/>
      <c r="H549" s="250"/>
    </row>
    <row r="550" spans="1:8">
      <c r="A550" s="249"/>
      <c r="B550" s="250"/>
      <c r="C550" s="250"/>
      <c r="D550" s="250"/>
      <c r="E550" s="250"/>
      <c r="F550" s="250"/>
      <c r="G550" s="250"/>
      <c r="H550" s="250"/>
    </row>
    <row r="551" spans="1:8">
      <c r="A551" s="249"/>
      <c r="B551" s="250"/>
      <c r="C551" s="250"/>
      <c r="D551" s="250"/>
      <c r="E551" s="250"/>
      <c r="F551" s="250"/>
      <c r="G551" s="250"/>
      <c r="H551" s="250"/>
    </row>
    <row r="552" spans="1:8">
      <c r="A552" s="249"/>
      <c r="B552" s="250"/>
      <c r="C552" s="250"/>
      <c r="D552" s="250"/>
      <c r="E552" s="250"/>
      <c r="F552" s="250"/>
      <c r="G552" s="250"/>
      <c r="H552" s="250"/>
    </row>
    <row r="553" spans="1:8">
      <c r="A553" s="249"/>
      <c r="B553" s="250"/>
      <c r="C553" s="250"/>
      <c r="D553" s="250"/>
      <c r="E553" s="250"/>
      <c r="F553" s="250"/>
      <c r="G553" s="250"/>
      <c r="H553" s="250"/>
    </row>
    <row r="554" spans="1:8">
      <c r="A554" s="249"/>
      <c r="B554" s="250"/>
      <c r="C554" s="250"/>
      <c r="D554" s="250"/>
      <c r="E554" s="250"/>
      <c r="F554" s="250"/>
      <c r="G554" s="250"/>
      <c r="H554" s="250"/>
    </row>
    <row r="555" spans="1:8">
      <c r="A555" s="249"/>
      <c r="B555" s="250"/>
      <c r="C555" s="250"/>
      <c r="D555" s="250"/>
      <c r="E555" s="250"/>
      <c r="F555" s="250"/>
      <c r="G555" s="250"/>
      <c r="H555" s="250"/>
    </row>
    <row r="556" spans="1:8">
      <c r="A556" s="249"/>
      <c r="B556" s="250"/>
      <c r="C556" s="250"/>
      <c r="D556" s="250"/>
      <c r="E556" s="250"/>
      <c r="F556" s="250"/>
      <c r="G556" s="250"/>
      <c r="H556" s="250"/>
    </row>
    <row r="557" spans="1:8">
      <c r="A557" s="249"/>
      <c r="B557" s="250"/>
      <c r="C557" s="250"/>
      <c r="D557" s="250"/>
      <c r="E557" s="250"/>
      <c r="F557" s="250"/>
      <c r="G557" s="250"/>
      <c r="H557" s="250"/>
    </row>
    <row r="558" spans="1:8">
      <c r="A558" s="249"/>
      <c r="B558" s="250"/>
      <c r="C558" s="250"/>
      <c r="D558" s="250"/>
      <c r="E558" s="250"/>
      <c r="F558" s="250"/>
      <c r="G558" s="250"/>
      <c r="H558" s="250"/>
    </row>
    <row r="559" spans="1:8">
      <c r="A559" s="249"/>
      <c r="B559" s="250"/>
      <c r="C559" s="250"/>
      <c r="D559" s="250"/>
      <c r="E559" s="250"/>
      <c r="F559" s="250"/>
      <c r="G559" s="250"/>
      <c r="H559" s="250"/>
    </row>
    <row r="560" spans="1:8">
      <c r="A560" s="249"/>
      <c r="B560" s="250"/>
      <c r="C560" s="250"/>
      <c r="D560" s="250"/>
      <c r="E560" s="250"/>
      <c r="F560" s="250"/>
      <c r="G560" s="250"/>
      <c r="H560" s="250"/>
    </row>
    <row r="561" spans="1:8">
      <c r="A561" s="249"/>
      <c r="B561" s="250"/>
      <c r="C561" s="250"/>
      <c r="D561" s="250"/>
      <c r="E561" s="250"/>
      <c r="F561" s="250"/>
      <c r="G561" s="250"/>
      <c r="H561" s="250"/>
    </row>
    <row r="562" spans="1:8">
      <c r="A562" s="249"/>
      <c r="B562" s="250"/>
      <c r="C562" s="250"/>
      <c r="D562" s="250"/>
      <c r="E562" s="250"/>
      <c r="F562" s="250"/>
      <c r="G562" s="250"/>
      <c r="H562" s="250"/>
    </row>
    <row r="563" spans="1:8">
      <c r="A563" s="249"/>
      <c r="B563" s="250"/>
      <c r="C563" s="250"/>
      <c r="D563" s="250"/>
      <c r="E563" s="250"/>
      <c r="F563" s="250"/>
      <c r="G563" s="250"/>
      <c r="H563" s="250"/>
    </row>
    <row r="564" spans="1:8">
      <c r="A564" s="249"/>
      <c r="B564" s="250"/>
      <c r="C564" s="250"/>
      <c r="D564" s="250"/>
      <c r="E564" s="250"/>
      <c r="F564" s="250"/>
      <c r="G564" s="250"/>
      <c r="H564" s="250"/>
    </row>
    <row r="565" spans="1:8">
      <c r="A565" s="249"/>
      <c r="B565" s="250"/>
      <c r="C565" s="250"/>
      <c r="D565" s="250"/>
      <c r="E565" s="250"/>
      <c r="F565" s="250"/>
      <c r="G565" s="250"/>
      <c r="H565" s="250"/>
    </row>
    <row r="566" spans="1:8">
      <c r="A566" s="249"/>
      <c r="B566" s="250"/>
      <c r="C566" s="250"/>
      <c r="D566" s="250"/>
      <c r="E566" s="250"/>
      <c r="F566" s="250"/>
      <c r="G566" s="250"/>
      <c r="H566" s="250"/>
    </row>
    <row r="567" spans="1:8">
      <c r="A567" s="249"/>
      <c r="B567" s="250"/>
      <c r="C567" s="250"/>
      <c r="D567" s="250"/>
      <c r="E567" s="250"/>
      <c r="F567" s="250"/>
      <c r="G567" s="250"/>
      <c r="H567" s="250"/>
    </row>
    <row r="568" spans="1:8">
      <c r="A568" s="249"/>
      <c r="B568" s="250"/>
      <c r="C568" s="250"/>
      <c r="D568" s="250"/>
      <c r="E568" s="250"/>
      <c r="F568" s="250"/>
      <c r="G568" s="250"/>
      <c r="H568" s="250"/>
    </row>
    <row r="569" spans="1:8">
      <c r="A569" s="249"/>
      <c r="B569" s="250"/>
      <c r="C569" s="250"/>
      <c r="D569" s="250"/>
      <c r="E569" s="250"/>
      <c r="F569" s="250"/>
      <c r="G569" s="250"/>
      <c r="H569" s="250"/>
    </row>
    <row r="570" spans="1:8">
      <c r="A570" s="249"/>
      <c r="B570" s="250"/>
      <c r="C570" s="250"/>
      <c r="D570" s="250"/>
      <c r="E570" s="250"/>
      <c r="F570" s="250"/>
      <c r="G570" s="250"/>
      <c r="H570" s="250"/>
    </row>
    <row r="571" spans="1:8">
      <c r="A571" s="249"/>
      <c r="B571" s="250"/>
      <c r="C571" s="250"/>
      <c r="D571" s="250"/>
      <c r="E571" s="250"/>
      <c r="F571" s="250"/>
      <c r="G571" s="250"/>
      <c r="H571" s="250"/>
    </row>
    <row r="572" spans="1:8">
      <c r="A572" s="249"/>
      <c r="B572" s="250"/>
      <c r="C572" s="250"/>
      <c r="D572" s="250"/>
      <c r="E572" s="250"/>
      <c r="F572" s="250"/>
      <c r="G572" s="250"/>
      <c r="H572" s="250"/>
    </row>
    <row r="573" spans="1:8">
      <c r="A573" s="249"/>
      <c r="B573" s="250"/>
      <c r="C573" s="250"/>
      <c r="D573" s="250"/>
      <c r="E573" s="250"/>
      <c r="F573" s="250"/>
      <c r="G573" s="250"/>
      <c r="H573" s="250"/>
    </row>
    <row r="574" spans="1:8">
      <c r="A574" s="249"/>
      <c r="B574" s="250"/>
      <c r="C574" s="250"/>
      <c r="D574" s="250"/>
      <c r="E574" s="250"/>
      <c r="F574" s="250"/>
      <c r="G574" s="250"/>
      <c r="H574" s="250"/>
    </row>
    <row r="575" spans="1:8">
      <c r="A575" s="249"/>
      <c r="B575" s="250"/>
      <c r="C575" s="250"/>
      <c r="D575" s="250"/>
      <c r="E575" s="250"/>
      <c r="F575" s="250"/>
      <c r="G575" s="250"/>
      <c r="H575" s="250"/>
    </row>
    <row r="576" spans="1:8">
      <c r="A576" s="249"/>
      <c r="B576" s="250"/>
      <c r="C576" s="250"/>
      <c r="D576" s="250"/>
      <c r="E576" s="250"/>
      <c r="F576" s="250"/>
      <c r="G576" s="250"/>
      <c r="H576" s="250"/>
    </row>
    <row r="577" spans="1:8">
      <c r="A577" s="249"/>
      <c r="B577" s="250"/>
      <c r="C577" s="250"/>
      <c r="D577" s="250"/>
      <c r="E577" s="250"/>
      <c r="F577" s="250"/>
      <c r="G577" s="250"/>
      <c r="H577" s="250"/>
    </row>
    <row r="578" spans="1:8">
      <c r="A578" s="249"/>
      <c r="B578" s="250"/>
      <c r="C578" s="250"/>
      <c r="D578" s="250"/>
      <c r="E578" s="250"/>
      <c r="F578" s="250"/>
      <c r="G578" s="250"/>
      <c r="H578" s="250"/>
    </row>
    <row r="579" spans="1:8">
      <c r="A579" s="249"/>
      <c r="B579" s="250"/>
      <c r="C579" s="250"/>
      <c r="D579" s="250"/>
      <c r="E579" s="250"/>
      <c r="F579" s="250"/>
      <c r="G579" s="250"/>
      <c r="H579" s="250"/>
    </row>
    <row r="580" spans="1:8">
      <c r="A580" s="249"/>
      <c r="B580" s="250"/>
      <c r="C580" s="250"/>
      <c r="D580" s="250"/>
      <c r="E580" s="250"/>
      <c r="F580" s="250"/>
      <c r="G580" s="250"/>
      <c r="H580" s="250"/>
    </row>
    <row r="581" spans="1:8">
      <c r="A581" s="249"/>
      <c r="B581" s="250"/>
      <c r="C581" s="250"/>
      <c r="D581" s="250"/>
      <c r="E581" s="250"/>
      <c r="F581" s="250"/>
      <c r="G581" s="250"/>
      <c r="H581" s="250"/>
    </row>
    <row r="582" spans="1:8">
      <c r="A582" s="249"/>
      <c r="B582" s="250"/>
      <c r="C582" s="250"/>
      <c r="D582" s="250"/>
      <c r="E582" s="250"/>
      <c r="F582" s="250"/>
      <c r="G582" s="250"/>
      <c r="H582" s="250"/>
    </row>
    <row r="583" spans="1:8">
      <c r="A583" s="249"/>
      <c r="B583" s="250"/>
      <c r="C583" s="250"/>
      <c r="D583" s="250"/>
      <c r="E583" s="250"/>
      <c r="F583" s="250"/>
      <c r="G583" s="250"/>
      <c r="H583" s="250"/>
    </row>
    <row r="584" spans="1:8">
      <c r="A584" s="249"/>
      <c r="B584" s="250"/>
      <c r="C584" s="250"/>
      <c r="D584" s="250"/>
      <c r="E584" s="250"/>
      <c r="F584" s="250"/>
      <c r="G584" s="250"/>
      <c r="H584" s="250"/>
    </row>
    <row r="585" spans="1:8">
      <c r="A585" s="249"/>
      <c r="B585" s="250"/>
      <c r="C585" s="250"/>
      <c r="D585" s="250"/>
      <c r="E585" s="250"/>
      <c r="F585" s="250"/>
      <c r="G585" s="250"/>
      <c r="H585" s="250"/>
    </row>
    <row r="586" spans="1:8">
      <c r="A586" s="249"/>
      <c r="B586" s="250"/>
      <c r="C586" s="250"/>
      <c r="D586" s="250"/>
      <c r="E586" s="250"/>
      <c r="F586" s="250"/>
      <c r="G586" s="250"/>
      <c r="H586" s="250"/>
    </row>
    <row r="587" spans="1:8">
      <c r="A587" s="249"/>
      <c r="B587" s="250"/>
      <c r="C587" s="250"/>
      <c r="D587" s="250"/>
      <c r="E587" s="250"/>
      <c r="F587" s="250"/>
      <c r="G587" s="250"/>
      <c r="H587" s="250"/>
    </row>
    <row r="588" spans="1:8">
      <c r="A588" s="249"/>
      <c r="B588" s="250"/>
      <c r="C588" s="250"/>
      <c r="D588" s="250"/>
      <c r="E588" s="250"/>
      <c r="F588" s="250"/>
      <c r="G588" s="250"/>
      <c r="H588" s="250"/>
    </row>
    <row r="589" spans="1:8">
      <c r="A589" s="249"/>
      <c r="B589" s="250"/>
      <c r="C589" s="250"/>
      <c r="D589" s="250"/>
      <c r="E589" s="250"/>
      <c r="F589" s="250"/>
      <c r="G589" s="250"/>
      <c r="H589" s="250"/>
    </row>
    <row r="590" spans="1:8">
      <c r="A590" s="249"/>
      <c r="B590" s="250"/>
      <c r="C590" s="250"/>
      <c r="D590" s="250"/>
      <c r="E590" s="250"/>
      <c r="F590" s="250"/>
      <c r="G590" s="250"/>
      <c r="H590" s="250"/>
    </row>
    <row r="591" spans="1:8">
      <c r="A591" s="249"/>
      <c r="B591" s="250"/>
      <c r="C591" s="250"/>
      <c r="D591" s="250"/>
      <c r="E591" s="250"/>
      <c r="F591" s="250"/>
      <c r="G591" s="250"/>
      <c r="H591" s="250"/>
    </row>
    <row r="592" spans="1:8">
      <c r="A592" s="249"/>
      <c r="B592" s="250"/>
      <c r="C592" s="250"/>
      <c r="D592" s="250"/>
      <c r="E592" s="250"/>
      <c r="F592" s="250"/>
      <c r="G592" s="250"/>
      <c r="H592" s="250"/>
    </row>
    <row r="593" spans="1:8">
      <c r="A593" s="249"/>
      <c r="B593" s="250"/>
      <c r="C593" s="250"/>
      <c r="D593" s="250"/>
      <c r="E593" s="250"/>
      <c r="F593" s="250"/>
      <c r="G593" s="250"/>
      <c r="H593" s="250"/>
    </row>
    <row r="594" spans="1:8">
      <c r="A594" s="249"/>
      <c r="B594" s="250"/>
      <c r="C594" s="250"/>
      <c r="D594" s="250"/>
      <c r="E594" s="250"/>
      <c r="F594" s="250"/>
      <c r="G594" s="250"/>
      <c r="H594" s="250"/>
    </row>
  </sheetData>
  <mergeCells count="18">
    <mergeCell ref="W5:W8"/>
    <mergeCell ref="X5:X8"/>
    <mergeCell ref="Y5:Y8"/>
    <mergeCell ref="A6:A8"/>
    <mergeCell ref="B6:B7"/>
    <mergeCell ref="C6:C7"/>
    <mergeCell ref="D6:D7"/>
    <mergeCell ref="G6:H6"/>
    <mergeCell ref="I6:J6"/>
    <mergeCell ref="K6:K7"/>
    <mergeCell ref="A26:J26"/>
    <mergeCell ref="E6:F6"/>
    <mergeCell ref="Q7:U7"/>
    <mergeCell ref="P7:P8"/>
    <mergeCell ref="L6:L7"/>
    <mergeCell ref="M6:M7"/>
    <mergeCell ref="N6:N7"/>
    <mergeCell ref="O6:O7"/>
  </mergeCells>
  <dataValidations count="1">
    <dataValidation type="list" allowBlank="1" showInputMessage="1" showErrorMessage="1" sqref="E9:E18">
      <formula1>ขนาดท่อกลม</formula1>
    </dataValidation>
  </dataValidations>
  <pageMargins left="0.75" right="0.16" top="0.98" bottom="1" header="0.38" footer="0.5"/>
  <pageSetup paperSize="9" scale="70" orientation="portrait" r:id="rId1"/>
  <headerFooter alignWithMargins="0">
    <oddHeader>&amp;Rปริมาณงานทางเชื่อมแผ่นที่ &amp;P/&amp;N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S334"/>
  <sheetViews>
    <sheetView view="pageBreakPreview" topLeftCell="A76" zoomScaleSheetLayoutView="100" workbookViewId="0">
      <selection activeCell="B98" sqref="B98"/>
    </sheetView>
  </sheetViews>
  <sheetFormatPr defaultColWidth="9" defaultRowHeight="21.75"/>
  <cols>
    <col min="1" max="1" width="17.75" style="895" customWidth="1"/>
    <col min="2" max="2" width="9.75" style="895" customWidth="1"/>
    <col min="3" max="3" width="8.75" style="1462" customWidth="1"/>
    <col min="4" max="4" width="7.75" style="895" customWidth="1"/>
    <col min="5" max="9" width="9.75" style="895" customWidth="1"/>
    <col min="10" max="10" width="8.75" style="895" customWidth="1"/>
    <col min="11" max="11" width="20.75" style="895" customWidth="1"/>
    <col min="12" max="12" width="12.75" style="895" customWidth="1"/>
    <col min="13" max="16" width="9" style="895"/>
    <col min="17" max="17" width="12.75" style="895" customWidth="1"/>
    <col min="18" max="16384" width="9" style="895"/>
  </cols>
  <sheetData>
    <row r="1" spans="1:17" ht="20.100000000000001" customHeight="1">
      <c r="A1" s="1590" t="s">
        <v>908</v>
      </c>
      <c r="B1" s="1590"/>
      <c r="C1" s="1590"/>
      <c r="D1" s="1590"/>
      <c r="E1" s="1590"/>
      <c r="F1" s="1590"/>
      <c r="G1" s="1590"/>
      <c r="H1" s="1590"/>
      <c r="I1" s="1590"/>
      <c r="J1" s="1590"/>
      <c r="Q1" s="896" t="s">
        <v>1716</v>
      </c>
    </row>
    <row r="2" spans="1:17" ht="20.100000000000001" customHeight="1">
      <c r="A2" s="897" t="str">
        <f>"เปรียบเทียบราคาวัสดุ ณ วันที่ "&amp;'ปร.5 ท'!C17&amp;"  "&amp;'ปร.5 ท'!E17&amp;"  "&amp;'ปร.5 ท'!F17&amp;" "&amp;'ปร.5 ท'!G17</f>
        <v>เปรียบเทียบราคาวัสดุ ณ วันที่ 30  มิถุนายน  พ.ศ. 2563</v>
      </c>
      <c r="B2" s="897"/>
      <c r="C2" s="1457"/>
      <c r="D2" s="897"/>
      <c r="E2" s="897"/>
      <c r="F2" s="897"/>
      <c r="G2" s="897"/>
      <c r="H2" s="897"/>
      <c r="I2" s="897"/>
      <c r="J2" s="897"/>
      <c r="Q2" s="895">
        <v>0</v>
      </c>
    </row>
    <row r="3" spans="1:17" ht="20.100000000000001" customHeight="1">
      <c r="A3" s="897" t="s">
        <v>1717</v>
      </c>
      <c r="B3" s="897"/>
      <c r="C3" s="1458">
        <v>22.5</v>
      </c>
      <c r="D3" s="897" t="s">
        <v>478</v>
      </c>
      <c r="E3" s="897"/>
      <c r="F3" s="897"/>
      <c r="G3" s="897"/>
      <c r="H3" s="897"/>
      <c r="I3" s="897"/>
      <c r="J3" s="897"/>
      <c r="Q3" s="895">
        <v>20.5</v>
      </c>
    </row>
    <row r="4" spans="1:17" ht="20.100000000000001" customHeight="1">
      <c r="A4" s="898" t="s">
        <v>3</v>
      </c>
      <c r="C4" s="1459"/>
      <c r="D4" s="899"/>
      <c r="E4" s="899"/>
      <c r="F4" s="899"/>
      <c r="G4" s="899"/>
      <c r="H4" s="899"/>
      <c r="I4" s="899"/>
      <c r="J4" s="899"/>
      <c r="Q4" s="895">
        <v>21.5</v>
      </c>
    </row>
    <row r="5" spans="1:17" ht="20.100000000000001" customHeight="1">
      <c r="B5" s="897" t="s">
        <v>915</v>
      </c>
      <c r="C5" s="1459"/>
      <c r="D5" s="899"/>
      <c r="E5" s="899"/>
      <c r="F5" s="899"/>
      <c r="G5" s="899"/>
      <c r="H5" s="899"/>
      <c r="I5" s="899"/>
      <c r="J5" s="899"/>
      <c r="Q5" s="895">
        <v>22.5</v>
      </c>
    </row>
    <row r="6" spans="1:17" ht="20.100000000000001" customHeight="1">
      <c r="B6" s="897" t="s">
        <v>916</v>
      </c>
      <c r="C6" s="1459"/>
      <c r="D6" s="899"/>
      <c r="E6" s="899"/>
      <c r="F6" s="899"/>
      <c r="G6" s="899"/>
      <c r="H6" s="899"/>
      <c r="I6" s="899"/>
      <c r="J6" s="899"/>
      <c r="Q6" s="895">
        <v>23.5</v>
      </c>
    </row>
    <row r="7" spans="1:17" ht="20.100000000000001" customHeight="1">
      <c r="A7" s="899"/>
      <c r="B7" s="899"/>
      <c r="C7" s="1459"/>
      <c r="D7" s="899"/>
      <c r="E7" s="899"/>
      <c r="F7" s="899"/>
      <c r="G7" s="899"/>
      <c r="H7" s="899"/>
      <c r="I7" s="899"/>
      <c r="J7" s="899"/>
      <c r="Q7" s="895">
        <v>24.5</v>
      </c>
    </row>
    <row r="8" spans="1:17" ht="20.100000000000001" customHeight="1">
      <c r="A8" s="900" t="s">
        <v>909</v>
      </c>
      <c r="B8" s="901"/>
      <c r="C8" s="1460"/>
      <c r="M8" s="902"/>
      <c r="N8" s="902"/>
      <c r="O8" s="902"/>
      <c r="P8" s="902"/>
      <c r="Q8" s="895">
        <v>25.5</v>
      </c>
    </row>
    <row r="9" spans="1:17" ht="20.100000000000001" customHeight="1">
      <c r="A9" s="1583" t="s">
        <v>0</v>
      </c>
      <c r="B9" s="1584" t="s">
        <v>1210</v>
      </c>
      <c r="C9" s="1585"/>
      <c r="D9" s="1585"/>
      <c r="E9" s="1586"/>
      <c r="F9" s="903" t="s">
        <v>129</v>
      </c>
      <c r="G9" s="903" t="s">
        <v>1209</v>
      </c>
      <c r="H9" s="903" t="s">
        <v>136</v>
      </c>
      <c r="I9" s="903" t="s">
        <v>1211</v>
      </c>
      <c r="Q9" s="895">
        <v>26.5</v>
      </c>
    </row>
    <row r="10" spans="1:17" ht="20.100000000000001" customHeight="1">
      <c r="A10" s="1583"/>
      <c r="B10" s="1587"/>
      <c r="C10" s="1588"/>
      <c r="D10" s="1588"/>
      <c r="E10" s="1589"/>
      <c r="F10" s="904" t="s">
        <v>183</v>
      </c>
      <c r="G10" s="904" t="s">
        <v>181</v>
      </c>
      <c r="H10" s="904" t="s">
        <v>183</v>
      </c>
      <c r="I10" s="904" t="s">
        <v>183</v>
      </c>
      <c r="Q10" s="895">
        <v>27.5</v>
      </c>
    </row>
    <row r="11" spans="1:17" ht="20.100000000000001" customHeight="1">
      <c r="A11" s="905">
        <v>1</v>
      </c>
      <c r="B11" s="906" t="s">
        <v>1240</v>
      </c>
      <c r="C11" s="1461"/>
      <c r="D11" s="907"/>
      <c r="E11" s="908"/>
      <c r="F11" s="909">
        <v>0</v>
      </c>
      <c r="G11" s="909">
        <v>20</v>
      </c>
      <c r="H11" s="910">
        <f>IF(F11=0,0,IF(G11&lt;=200,VLOOKUP(G11,บรรทุกสิบล้อ!$A$9:$C$208,3),(((G11-200)*บรรทุกสิบล้อ!$C$209)+บรรทุกสิบล้อ!$C$208)))</f>
        <v>0</v>
      </c>
      <c r="I11" s="910" t="str">
        <f t="shared" ref="I11:I19" si="0">IF(F11=0,"N/A",F11+H11)</f>
        <v>N/A</v>
      </c>
      <c r="L11" s="911" t="str">
        <f t="shared" ref="L11:L20" si="1">I11</f>
        <v>N/A</v>
      </c>
      <c r="M11" s="912">
        <f t="shared" ref="M11:M19" si="2">A11</f>
        <v>1</v>
      </c>
      <c r="N11" s="913"/>
      <c r="Q11" s="895">
        <v>28.5</v>
      </c>
    </row>
    <row r="12" spans="1:17" ht="20.100000000000001" customHeight="1">
      <c r="A12" s="905">
        <v>2</v>
      </c>
      <c r="B12" s="906" t="s">
        <v>1226</v>
      </c>
      <c r="C12" s="1461"/>
      <c r="D12" s="907"/>
      <c r="E12" s="908"/>
      <c r="F12" s="909">
        <v>50</v>
      </c>
      <c r="G12" s="909">
        <v>23</v>
      </c>
      <c r="H12" s="910">
        <f>IF(F12=0,0,IF(G12&lt;=200,VLOOKUP(G12,บรรทุกสิบล้อ!$A$9:$C$208,3),(((G12-200)*บรรทุกสิบล้อ!$C$209)+บรรทุกสิบล้อ!$C$208)))</f>
        <v>72.680000000000007</v>
      </c>
      <c r="I12" s="910">
        <f t="shared" si="0"/>
        <v>122.68</v>
      </c>
      <c r="L12" s="911">
        <f t="shared" si="1"/>
        <v>122.68</v>
      </c>
      <c r="M12" s="912">
        <f t="shared" si="2"/>
        <v>2</v>
      </c>
      <c r="N12" s="913"/>
      <c r="Q12" s="895">
        <v>29.5</v>
      </c>
    </row>
    <row r="13" spans="1:17" ht="20.100000000000001" customHeight="1">
      <c r="A13" s="905">
        <v>3</v>
      </c>
      <c r="B13" s="906" t="s">
        <v>1800</v>
      </c>
      <c r="C13" s="1461"/>
      <c r="D13" s="907"/>
      <c r="E13" s="908"/>
      <c r="F13" s="909">
        <v>50</v>
      </c>
      <c r="G13" s="909">
        <v>40</v>
      </c>
      <c r="H13" s="910">
        <f>IF(F13=0,0,IF(G13&lt;=200,VLOOKUP(G13,บรรทุกสิบล้อ!$A$9:$C$208,3),(((G13-200)*บรรทุกสิบล้อ!$C$209)+บรรทุกสิบล้อ!$C$208)))</f>
        <v>125.11</v>
      </c>
      <c r="I13" s="910">
        <f t="shared" si="0"/>
        <v>175.11</v>
      </c>
      <c r="L13" s="911">
        <f t="shared" si="1"/>
        <v>175.11</v>
      </c>
      <c r="M13" s="912">
        <f t="shared" si="2"/>
        <v>3</v>
      </c>
      <c r="N13" s="913"/>
      <c r="Q13" s="895">
        <v>30.5</v>
      </c>
    </row>
    <row r="14" spans="1:17" ht="20.100000000000001" customHeight="1">
      <c r="A14" s="905">
        <v>4</v>
      </c>
      <c r="B14" s="906" t="s">
        <v>1801</v>
      </c>
      <c r="C14" s="1461"/>
      <c r="D14" s="907"/>
      <c r="E14" s="908"/>
      <c r="F14" s="909">
        <v>50</v>
      </c>
      <c r="G14" s="909">
        <v>33</v>
      </c>
      <c r="H14" s="910">
        <f>IF(F14=0,0,IF(G14&lt;=200,VLOOKUP(G14,บรรทุกสิบล้อ!$A$9:$C$208,3),(((G14-200)*บรรทุกสิบล้อ!$C$209)+บรรทุกสิบล้อ!$C$208)))</f>
        <v>103.53</v>
      </c>
      <c r="I14" s="910">
        <f t="shared" si="0"/>
        <v>153.53</v>
      </c>
      <c r="L14" s="911">
        <f t="shared" si="1"/>
        <v>153.53</v>
      </c>
      <c r="M14" s="912">
        <f t="shared" si="2"/>
        <v>4</v>
      </c>
      <c r="N14" s="913"/>
      <c r="Q14" s="895">
        <v>31.5</v>
      </c>
    </row>
    <row r="15" spans="1:17" ht="20.100000000000001" customHeight="1">
      <c r="A15" s="905">
        <v>5</v>
      </c>
      <c r="B15" s="906" t="s">
        <v>1500</v>
      </c>
      <c r="C15" s="1461"/>
      <c r="D15" s="907"/>
      <c r="E15" s="908"/>
      <c r="F15" s="909">
        <v>50</v>
      </c>
      <c r="G15" s="909">
        <v>49</v>
      </c>
      <c r="H15" s="910">
        <f>IF(F15=0,0,IF(G15&lt;=200,VLOOKUP(G15,บรรทุกสิบล้อ!$A$9:$C$208,3),(((G15-200)*บรรทุกสิบล้อ!$C$209)+บรรทุกสิบล้อ!$C$208)))</f>
        <v>152.85</v>
      </c>
      <c r="I15" s="910">
        <f t="shared" si="0"/>
        <v>202.85</v>
      </c>
      <c r="L15" s="911">
        <f t="shared" si="1"/>
        <v>202.85</v>
      </c>
      <c r="M15" s="912">
        <f t="shared" si="2"/>
        <v>5</v>
      </c>
      <c r="N15" s="913"/>
      <c r="Q15" s="895">
        <v>32.5</v>
      </c>
    </row>
    <row r="16" spans="1:17" ht="20.100000000000001" customHeight="1">
      <c r="A16" s="905">
        <v>6</v>
      </c>
      <c r="B16" s="906" t="s">
        <v>1229</v>
      </c>
      <c r="C16" s="1461"/>
      <c r="D16" s="907"/>
      <c r="E16" s="908"/>
      <c r="F16" s="909">
        <v>50</v>
      </c>
      <c r="G16" s="909">
        <v>68</v>
      </c>
      <c r="H16" s="910">
        <f>IF(F16=0,0,IF(G16&lt;=200,VLOOKUP(G16,บรรทุกสิบล้อ!$A$9:$C$208,3),(((G16-200)*บรรทุกสิบล้อ!$C$209)+บรรทุกสิบล้อ!$C$208)))</f>
        <v>211.43</v>
      </c>
      <c r="I16" s="910">
        <f t="shared" si="0"/>
        <v>261.43</v>
      </c>
      <c r="L16" s="911">
        <f t="shared" si="1"/>
        <v>261.43</v>
      </c>
      <c r="M16" s="912">
        <f t="shared" si="2"/>
        <v>6</v>
      </c>
      <c r="N16" s="913"/>
    </row>
    <row r="17" spans="1:14" ht="20.100000000000001" customHeight="1">
      <c r="A17" s="905">
        <v>7</v>
      </c>
      <c r="B17" s="906" t="s">
        <v>1653</v>
      </c>
      <c r="C17" s="1461"/>
      <c r="D17" s="907"/>
      <c r="E17" s="908"/>
      <c r="F17" s="909">
        <v>50</v>
      </c>
      <c r="G17" s="909">
        <v>21</v>
      </c>
      <c r="H17" s="910">
        <f>IF(F17=0,0,IF(G17&lt;=200,VLOOKUP(G17,บรรทุกสิบล้อ!$A$9:$C$208,3),(((G17-200)*บรรทุกสิบล้อ!$C$209)+บรรทุกสิบล้อ!$C$208)))</f>
        <v>66.52</v>
      </c>
      <c r="I17" s="910">
        <f t="shared" si="0"/>
        <v>116.52</v>
      </c>
      <c r="L17" s="911">
        <f t="shared" si="1"/>
        <v>116.52</v>
      </c>
      <c r="M17" s="912">
        <f t="shared" si="2"/>
        <v>7</v>
      </c>
      <c r="N17" s="913"/>
    </row>
    <row r="18" spans="1:14" ht="20.100000000000001" customHeight="1">
      <c r="A18" s="905">
        <v>8</v>
      </c>
      <c r="B18" s="906" t="s">
        <v>1816</v>
      </c>
      <c r="C18" s="1461"/>
      <c r="D18" s="907"/>
      <c r="E18" s="908"/>
      <c r="F18" s="909">
        <v>80</v>
      </c>
      <c r="G18" s="909">
        <v>30</v>
      </c>
      <c r="H18" s="910">
        <f>IF(F18=0,0,IF(G18&lt;=200,VLOOKUP(G18,บรรทุกสิบล้อ!$A$9:$C$208,3),(((G18-200)*บรรทุกสิบล้อ!$C$209)+บรรทุกสิบล้อ!$C$208)))</f>
        <v>94.28</v>
      </c>
      <c r="I18" s="910">
        <f>IF(F18=0,"N/A",F18+H18)</f>
        <v>174.28</v>
      </c>
      <c r="L18" s="911">
        <f>I18</f>
        <v>174.28</v>
      </c>
      <c r="M18" s="912">
        <f>A18</f>
        <v>8</v>
      </c>
      <c r="N18" s="913"/>
    </row>
    <row r="19" spans="1:14" ht="20.100000000000001" customHeight="1">
      <c r="A19" s="905">
        <v>9</v>
      </c>
      <c r="B19" s="906" t="s">
        <v>1799</v>
      </c>
      <c r="C19" s="1461"/>
      <c r="D19" s="907"/>
      <c r="E19" s="908"/>
      <c r="F19" s="909">
        <v>100</v>
      </c>
      <c r="G19" s="909">
        <v>33</v>
      </c>
      <c r="H19" s="910">
        <f>IF(F19=0,0,IF(G19&lt;=200,VLOOKUP(G19,บรรทุกสิบล้อ!$A$9:$C$208,3),(((G19-200)*บรรทุกสิบล้อ!$C$209)+บรรทุกสิบล้อ!$C$208)))</f>
        <v>103.53</v>
      </c>
      <c r="I19" s="910">
        <f t="shared" si="0"/>
        <v>203.53</v>
      </c>
      <c r="L19" s="911">
        <f t="shared" si="1"/>
        <v>203.53</v>
      </c>
      <c r="M19" s="912">
        <f t="shared" si="2"/>
        <v>9</v>
      </c>
      <c r="N19" s="913"/>
    </row>
    <row r="20" spans="1:14" ht="20.100000000000001" customHeight="1" thickBot="1">
      <c r="F20" s="914"/>
      <c r="G20" s="914"/>
      <c r="H20" s="914" t="s">
        <v>1212</v>
      </c>
      <c r="I20" s="915">
        <f>MIN(I11:I19)</f>
        <v>116.52</v>
      </c>
      <c r="L20" s="895">
        <f t="shared" si="1"/>
        <v>116.52</v>
      </c>
      <c r="M20" s="916">
        <f>IF(L20=L11,M11,IF(L20=L12,M12,IF(L20=L13,M13,IF(L20=L14,M14,IF(L20=L15,M15,IF(L20=L16,M16,IF(L20=L17,M17,IF(L20=L18,M18,M19))))))))</f>
        <v>7</v>
      </c>
    </row>
    <row r="21" spans="1:14" ht="20.100000000000001" customHeight="1" thickTop="1">
      <c r="B21" s="917" t="s">
        <v>1213</v>
      </c>
      <c r="C21" s="1463" t="str">
        <f>VLOOKUP(M20,A11:I19,2)</f>
        <v>บ้านควนน้อย อ.ควนขนุน จ.พัทลุง</v>
      </c>
      <c r="D21" s="918"/>
      <c r="E21" s="918"/>
      <c r="F21" s="918"/>
      <c r="G21" s="916"/>
      <c r="H21" s="916"/>
      <c r="I21" s="916"/>
    </row>
    <row r="22" spans="1:14" ht="20.100000000000001" customHeight="1">
      <c r="A22" s="917" t="s">
        <v>129</v>
      </c>
      <c r="B22" s="919">
        <f>VLOOKUP(M20,A11:I19,6)</f>
        <v>50</v>
      </c>
      <c r="C22" s="1464" t="s">
        <v>183</v>
      </c>
      <c r="D22" s="917" t="s">
        <v>15</v>
      </c>
      <c r="E22" s="919">
        <f>VLOOKUP(M20,A11:I19,7)</f>
        <v>21</v>
      </c>
      <c r="F22" s="916" t="s">
        <v>181</v>
      </c>
      <c r="G22" s="917" t="s">
        <v>136</v>
      </c>
      <c r="H22" s="920">
        <f>VLOOKUP(M20,A11:I19,8)</f>
        <v>66.52</v>
      </c>
      <c r="I22" s="916" t="s">
        <v>183</v>
      </c>
    </row>
    <row r="23" spans="1:14" ht="20.100000000000001" customHeight="1">
      <c r="A23" s="917"/>
      <c r="B23" s="921"/>
      <c r="C23" s="1464"/>
      <c r="D23" s="917"/>
      <c r="E23" s="921"/>
      <c r="F23" s="916"/>
      <c r="G23" s="917"/>
      <c r="I23" s="916"/>
    </row>
    <row r="24" spans="1:14" ht="20.100000000000001" customHeight="1">
      <c r="A24" s="900" t="s">
        <v>1214</v>
      </c>
      <c r="B24" s="901"/>
      <c r="C24" s="1460"/>
    </row>
    <row r="25" spans="1:14" ht="20.100000000000001" customHeight="1">
      <c r="A25" s="1583" t="s">
        <v>0</v>
      </c>
      <c r="B25" s="1584" t="s">
        <v>1210</v>
      </c>
      <c r="C25" s="1585"/>
      <c r="D25" s="1585"/>
      <c r="E25" s="1586"/>
      <c r="F25" s="903" t="s">
        <v>129</v>
      </c>
      <c r="G25" s="903" t="s">
        <v>1209</v>
      </c>
      <c r="H25" s="903" t="s">
        <v>136</v>
      </c>
      <c r="I25" s="903" t="s">
        <v>1211</v>
      </c>
    </row>
    <row r="26" spans="1:14" ht="20.100000000000001" customHeight="1">
      <c r="A26" s="1583"/>
      <c r="B26" s="1587"/>
      <c r="C26" s="1588"/>
      <c r="D26" s="1588"/>
      <c r="E26" s="1589"/>
      <c r="F26" s="904" t="s">
        <v>183</v>
      </c>
      <c r="G26" s="904" t="s">
        <v>181</v>
      </c>
      <c r="H26" s="904" t="s">
        <v>183</v>
      </c>
      <c r="I26" s="904" t="s">
        <v>183</v>
      </c>
    </row>
    <row r="27" spans="1:14" ht="20.100000000000001" customHeight="1">
      <c r="A27" s="905">
        <v>1</v>
      </c>
      <c r="B27" s="906" t="s">
        <v>1240</v>
      </c>
      <c r="C27" s="1461"/>
      <c r="D27" s="907"/>
      <c r="E27" s="908"/>
      <c r="F27" s="909">
        <v>0</v>
      </c>
      <c r="G27" s="909">
        <f>G11</f>
        <v>20</v>
      </c>
      <c r="H27" s="910">
        <f>IF(F27=0,0,IF(G27&lt;=200,VLOOKUP(G27,บรรทุกสิบล้อ!$A$9:$C$208,3),(((G27-200)*บรรทุกสิบล้อ!$C$209)+บรรทุกสิบล้อ!$C$208)))</f>
        <v>0</v>
      </c>
      <c r="I27" s="910" t="str">
        <f t="shared" ref="I27:I32" si="3">IF(F27=0,"N/A",F27+H27)</f>
        <v>N/A</v>
      </c>
      <c r="K27" s="913"/>
      <c r="L27" s="911" t="str">
        <f t="shared" ref="L27:L33" si="4">I27</f>
        <v>N/A</v>
      </c>
      <c r="M27" s="912">
        <f t="shared" ref="M27:M32" si="5">A27</f>
        <v>1</v>
      </c>
      <c r="N27" s="913"/>
    </row>
    <row r="28" spans="1:14" ht="20.100000000000001" customHeight="1">
      <c r="A28" s="905">
        <v>2</v>
      </c>
      <c r="B28" s="906" t="s">
        <v>1215</v>
      </c>
      <c r="C28" s="1461"/>
      <c r="D28" s="907"/>
      <c r="E28" s="908"/>
      <c r="F28" s="909">
        <v>150</v>
      </c>
      <c r="G28" s="909">
        <v>64</v>
      </c>
      <c r="H28" s="910">
        <f>IF(F28=0,0,IF(G28&lt;=200,VLOOKUP(G28,บรรทุกสิบล้อ!$A$9:$C$208,3),(((G28-200)*บรรทุกสิบล้อ!$C$209)+บรรทุกสิบล้อ!$C$208)))</f>
        <v>199.11</v>
      </c>
      <c r="I28" s="910">
        <f t="shared" si="3"/>
        <v>349.11</v>
      </c>
      <c r="K28" s="922"/>
      <c r="L28" s="911">
        <f t="shared" si="4"/>
        <v>349.11</v>
      </c>
      <c r="M28" s="912">
        <f t="shared" si="5"/>
        <v>2</v>
      </c>
      <c r="N28" s="922"/>
    </row>
    <row r="29" spans="1:14" ht="20.100000000000001" customHeight="1">
      <c r="A29" s="905">
        <v>3</v>
      </c>
      <c r="B29" s="906" t="s">
        <v>1650</v>
      </c>
      <c r="C29" s="1461"/>
      <c r="D29" s="907"/>
      <c r="E29" s="908"/>
      <c r="F29" s="909">
        <v>150</v>
      </c>
      <c r="G29" s="909">
        <v>57</v>
      </c>
      <c r="H29" s="910">
        <f>IF(F29=0,0,IF(G29&lt;=200,VLOOKUP(G29,บรรทุกสิบล้อ!$A$9:$C$208,3),(((G29-200)*บรรทุกสิบล้อ!$C$209)+บรรทุกสิบล้อ!$C$208)))</f>
        <v>177.53</v>
      </c>
      <c r="I29" s="910">
        <f t="shared" si="3"/>
        <v>327.52999999999997</v>
      </c>
      <c r="K29" s="913"/>
      <c r="L29" s="911">
        <f t="shared" si="4"/>
        <v>327.52999999999997</v>
      </c>
      <c r="M29" s="912">
        <f t="shared" si="5"/>
        <v>3</v>
      </c>
      <c r="N29" s="913"/>
    </row>
    <row r="30" spans="1:14" ht="20.100000000000001" customHeight="1">
      <c r="A30" s="905">
        <v>4</v>
      </c>
      <c r="B30" s="906" t="s">
        <v>1217</v>
      </c>
      <c r="C30" s="1461"/>
      <c r="D30" s="907"/>
      <c r="E30" s="908"/>
      <c r="F30" s="909">
        <v>150</v>
      </c>
      <c r="G30" s="909">
        <v>53</v>
      </c>
      <c r="H30" s="910">
        <f>IF(F30=0,0,IF(G30&lt;=200,VLOOKUP(G30,บรรทุกสิบล้อ!$A$9:$C$208,3),(((G30-200)*บรรทุกสิบล้อ!$C$209)+บรรทุกสิบล้อ!$C$208)))</f>
        <v>165.19</v>
      </c>
      <c r="I30" s="910">
        <f t="shared" si="3"/>
        <v>315.19</v>
      </c>
      <c r="K30" s="913"/>
      <c r="L30" s="911">
        <f t="shared" si="4"/>
        <v>315.19</v>
      </c>
      <c r="M30" s="912">
        <f t="shared" si="5"/>
        <v>4</v>
      </c>
      <c r="N30" s="913"/>
    </row>
    <row r="31" spans="1:14" ht="20.100000000000001" customHeight="1">
      <c r="A31" s="905">
        <v>5</v>
      </c>
      <c r="B31" s="906" t="s">
        <v>1218</v>
      </c>
      <c r="C31" s="1461"/>
      <c r="D31" s="907"/>
      <c r="E31" s="908"/>
      <c r="F31" s="909">
        <v>150</v>
      </c>
      <c r="G31" s="909">
        <v>53</v>
      </c>
      <c r="H31" s="910">
        <f>IF(F31=0,0,IF(G31&lt;=200,VLOOKUP(G31,บรรทุกสิบล้อ!$A$9:$C$208,3),(((G31-200)*บรรทุกสิบล้อ!$C$209)+บรรทุกสิบล้อ!$C$208)))</f>
        <v>165.19</v>
      </c>
      <c r="I31" s="910">
        <f t="shared" si="3"/>
        <v>315.19</v>
      </c>
      <c r="K31" s="913"/>
      <c r="L31" s="911">
        <f t="shared" si="4"/>
        <v>315.19</v>
      </c>
      <c r="M31" s="912">
        <f t="shared" si="5"/>
        <v>5</v>
      </c>
      <c r="N31" s="913"/>
    </row>
    <row r="32" spans="1:14" ht="20.100000000000001" customHeight="1">
      <c r="A32" s="905">
        <v>6</v>
      </c>
      <c r="B32" s="906" t="s">
        <v>1219</v>
      </c>
      <c r="C32" s="1461"/>
      <c r="D32" s="907"/>
      <c r="E32" s="908"/>
      <c r="F32" s="909">
        <v>150</v>
      </c>
      <c r="G32" s="909">
        <v>38</v>
      </c>
      <c r="H32" s="910">
        <f>IF(F32=0,0,IF(G32&lt;=200,VLOOKUP(G32,บรรทุกสิบล้อ!$A$9:$C$208,3),(((G32-200)*บรรทุกสิบล้อ!$C$209)+บรรทุกสิบล้อ!$C$208)))</f>
        <v>118.96</v>
      </c>
      <c r="I32" s="910">
        <f t="shared" si="3"/>
        <v>268.95999999999998</v>
      </c>
      <c r="K32" s="913"/>
      <c r="L32" s="911">
        <f t="shared" si="4"/>
        <v>268.95999999999998</v>
      </c>
      <c r="M32" s="912">
        <f t="shared" si="5"/>
        <v>6</v>
      </c>
      <c r="N32" s="913"/>
    </row>
    <row r="33" spans="1:14" ht="20.100000000000001" customHeight="1" thickBot="1">
      <c r="F33" s="914"/>
      <c r="G33" s="914"/>
      <c r="H33" s="914" t="s">
        <v>1212</v>
      </c>
      <c r="I33" s="915">
        <f>MIN(I27:I32)</f>
        <v>268.95999999999998</v>
      </c>
      <c r="L33" s="895">
        <f t="shared" si="4"/>
        <v>268.95999999999998</v>
      </c>
      <c r="M33" s="916">
        <f>IF(L33=L27,M27,IF(L33=L28,M28,IF(L33=L29,M29,IF(L33=L30,M30,IF(L33=L31,M31,M32)))))</f>
        <v>6</v>
      </c>
    </row>
    <row r="34" spans="1:14" ht="20.100000000000001" customHeight="1" thickTop="1">
      <c r="B34" s="917" t="s">
        <v>1220</v>
      </c>
      <c r="C34" s="1463" t="str">
        <f>VLOOKUP(M33,A27:I32,2)</f>
        <v>คลองลำ อ.เมือง จ.พัทลุง</v>
      </c>
      <c r="D34" s="918"/>
      <c r="E34" s="918"/>
      <c r="F34" s="918"/>
      <c r="G34" s="916"/>
      <c r="H34" s="916"/>
      <c r="I34" s="916"/>
    </row>
    <row r="35" spans="1:14" ht="20.100000000000001" customHeight="1">
      <c r="A35" s="917" t="s">
        <v>129</v>
      </c>
      <c r="B35" s="919">
        <f>VLOOKUP(M33,A27:I32,6)</f>
        <v>150</v>
      </c>
      <c r="C35" s="1464" t="s">
        <v>183</v>
      </c>
      <c r="D35" s="917" t="s">
        <v>15</v>
      </c>
      <c r="E35" s="919">
        <f>VLOOKUP(M33,A27:I32,7)</f>
        <v>38</v>
      </c>
      <c r="F35" s="916" t="s">
        <v>181</v>
      </c>
      <c r="G35" s="917" t="s">
        <v>136</v>
      </c>
      <c r="H35" s="918">
        <f>VLOOKUP(M33,A27:I32,8)</f>
        <v>118.96</v>
      </c>
      <c r="I35" s="916" t="s">
        <v>183</v>
      </c>
    </row>
    <row r="36" spans="1:14" ht="20.100000000000001" customHeight="1">
      <c r="A36" s="916"/>
      <c r="B36" s="917"/>
      <c r="C36" s="1465"/>
      <c r="D36" s="916"/>
      <c r="E36" s="917"/>
      <c r="F36" s="916"/>
      <c r="G36" s="916"/>
      <c r="H36" s="916"/>
      <c r="I36" s="916"/>
    </row>
    <row r="37" spans="1:14" ht="20.100000000000001" customHeight="1">
      <c r="A37" s="900" t="s">
        <v>1221</v>
      </c>
      <c r="B37" s="901"/>
      <c r="C37" s="1460"/>
    </row>
    <row r="38" spans="1:14" ht="20.100000000000001" customHeight="1">
      <c r="A38" s="1583" t="s">
        <v>0</v>
      </c>
      <c r="B38" s="1584" t="s">
        <v>1210</v>
      </c>
      <c r="C38" s="1585"/>
      <c r="D38" s="1585"/>
      <c r="E38" s="1586"/>
      <c r="F38" s="903" t="s">
        <v>129</v>
      </c>
      <c r="G38" s="903" t="s">
        <v>1209</v>
      </c>
      <c r="H38" s="903" t="s">
        <v>136</v>
      </c>
      <c r="I38" s="903" t="s">
        <v>1211</v>
      </c>
    </row>
    <row r="39" spans="1:14" ht="20.100000000000001" customHeight="1">
      <c r="A39" s="1583"/>
      <c r="B39" s="1587"/>
      <c r="C39" s="1588"/>
      <c r="D39" s="1588"/>
      <c r="E39" s="1589"/>
      <c r="F39" s="904" t="s">
        <v>183</v>
      </c>
      <c r="G39" s="904" t="s">
        <v>181</v>
      </c>
      <c r="H39" s="904" t="s">
        <v>183</v>
      </c>
      <c r="I39" s="904" t="s">
        <v>183</v>
      </c>
    </row>
    <row r="40" spans="1:14" ht="20.100000000000001" customHeight="1">
      <c r="A40" s="905">
        <v>1</v>
      </c>
      <c r="B40" s="906" t="s">
        <v>1240</v>
      </c>
      <c r="C40" s="1461"/>
      <c r="D40" s="907"/>
      <c r="E40" s="908"/>
      <c r="F40" s="909">
        <v>373.83</v>
      </c>
      <c r="G40" s="909">
        <f t="shared" ref="G40:G45" si="6">G27</f>
        <v>20</v>
      </c>
      <c r="H40" s="910">
        <f>IF(F40=0,0,IF(G40&lt;=200,VLOOKUP(G40,บรรทุกสิบล้อ!$A$9:$C$208,3),(((G40-200)*บรรทุกสิบล้อ!$C$209)+บรรทุกสิบล้อ!$C$208)))</f>
        <v>63.44</v>
      </c>
      <c r="I40" s="910">
        <f t="shared" ref="I40:I45" si="7">IF(F40=0,"N/A",F40+H40)</f>
        <v>437.27</v>
      </c>
      <c r="K40" s="913"/>
      <c r="L40" s="911">
        <f t="shared" ref="L40:L46" si="8">I40</f>
        <v>437.27</v>
      </c>
      <c r="M40" s="912">
        <f t="shared" ref="M40:M45" si="9">A40</f>
        <v>1</v>
      </c>
      <c r="N40" s="913"/>
    </row>
    <row r="41" spans="1:14" ht="20.100000000000001" customHeight="1">
      <c r="A41" s="905">
        <v>2</v>
      </c>
      <c r="B41" s="906" t="s">
        <v>1215</v>
      </c>
      <c r="C41" s="1461"/>
      <c r="D41" s="907"/>
      <c r="E41" s="908"/>
      <c r="F41" s="909">
        <v>420</v>
      </c>
      <c r="G41" s="909">
        <f t="shared" si="6"/>
        <v>64</v>
      </c>
      <c r="H41" s="910">
        <f>IF(F41=0,0,IF(G41&lt;=200,VLOOKUP(G41,บรรทุกสิบล้อ!$A$9:$C$208,3),(((G41-200)*บรรทุกสิบล้อ!$C$209)+บรรทุกสิบล้อ!$C$208)))</f>
        <v>199.11</v>
      </c>
      <c r="I41" s="910">
        <f t="shared" si="7"/>
        <v>619.11</v>
      </c>
      <c r="K41" s="922"/>
      <c r="L41" s="911">
        <f t="shared" si="8"/>
        <v>619.11</v>
      </c>
      <c r="M41" s="912">
        <f t="shared" si="9"/>
        <v>2</v>
      </c>
      <c r="N41" s="913"/>
    </row>
    <row r="42" spans="1:14" ht="20.100000000000001" customHeight="1">
      <c r="A42" s="905">
        <v>3</v>
      </c>
      <c r="B42" s="906" t="s">
        <v>1650</v>
      </c>
      <c r="C42" s="1461"/>
      <c r="D42" s="907"/>
      <c r="E42" s="908"/>
      <c r="F42" s="909">
        <v>420</v>
      </c>
      <c r="G42" s="909">
        <f t="shared" si="6"/>
        <v>57</v>
      </c>
      <c r="H42" s="910">
        <f>IF(F42=0,0,IF(G42&lt;=200,VLOOKUP(G42,บรรทุกสิบล้อ!$A$9:$C$208,3),(((G42-200)*บรรทุกสิบล้อ!$C$209)+บรรทุกสิบล้อ!$C$208)))</f>
        <v>177.53</v>
      </c>
      <c r="I42" s="910">
        <f t="shared" si="7"/>
        <v>597.53</v>
      </c>
      <c r="K42" s="913"/>
      <c r="L42" s="911">
        <f t="shared" si="8"/>
        <v>597.53</v>
      </c>
      <c r="M42" s="912">
        <f t="shared" si="9"/>
        <v>3</v>
      </c>
      <c r="N42" s="913"/>
    </row>
    <row r="43" spans="1:14" ht="20.100000000000001" customHeight="1">
      <c r="A43" s="905">
        <v>4</v>
      </c>
      <c r="B43" s="906" t="s">
        <v>1217</v>
      </c>
      <c r="C43" s="1461"/>
      <c r="D43" s="907"/>
      <c r="E43" s="908"/>
      <c r="F43" s="909">
        <v>420</v>
      </c>
      <c r="G43" s="909">
        <f t="shared" si="6"/>
        <v>53</v>
      </c>
      <c r="H43" s="910">
        <f>IF(F43=0,0,IF(G43&lt;=200,VLOOKUP(G43,บรรทุกสิบล้อ!$A$9:$C$208,3),(((G43-200)*บรรทุกสิบล้อ!$C$209)+บรรทุกสิบล้อ!$C$208)))</f>
        <v>165.19</v>
      </c>
      <c r="I43" s="910">
        <f t="shared" si="7"/>
        <v>585.19000000000005</v>
      </c>
      <c r="K43" s="913"/>
      <c r="L43" s="911">
        <f t="shared" si="8"/>
        <v>585.19000000000005</v>
      </c>
      <c r="M43" s="912">
        <f t="shared" si="9"/>
        <v>4</v>
      </c>
      <c r="N43" s="913"/>
    </row>
    <row r="44" spans="1:14" ht="20.100000000000001" customHeight="1">
      <c r="A44" s="905">
        <v>5</v>
      </c>
      <c r="B44" s="906" t="s">
        <v>1218</v>
      </c>
      <c r="C44" s="1461"/>
      <c r="D44" s="907"/>
      <c r="E44" s="908"/>
      <c r="F44" s="909">
        <v>420</v>
      </c>
      <c r="G44" s="909">
        <f t="shared" si="6"/>
        <v>53</v>
      </c>
      <c r="H44" s="910">
        <f>IF(F44=0,0,IF(G44&lt;=200,VLOOKUP(G44,บรรทุกสิบล้อ!$A$9:$C$208,3),(((G44-200)*บรรทุกสิบล้อ!$C$209)+บรรทุกสิบล้อ!$C$208)))</f>
        <v>165.19</v>
      </c>
      <c r="I44" s="910">
        <f t="shared" si="7"/>
        <v>585.19000000000005</v>
      </c>
      <c r="K44" s="913"/>
      <c r="L44" s="911">
        <f t="shared" si="8"/>
        <v>585.19000000000005</v>
      </c>
      <c r="M44" s="912">
        <f t="shared" si="9"/>
        <v>5</v>
      </c>
      <c r="N44" s="913"/>
    </row>
    <row r="45" spans="1:14" ht="20.100000000000001" customHeight="1">
      <c r="A45" s="905">
        <v>6</v>
      </c>
      <c r="B45" s="906" t="s">
        <v>1219</v>
      </c>
      <c r="C45" s="1461"/>
      <c r="D45" s="907"/>
      <c r="E45" s="908"/>
      <c r="F45" s="909">
        <v>420</v>
      </c>
      <c r="G45" s="909">
        <f t="shared" si="6"/>
        <v>38</v>
      </c>
      <c r="H45" s="910">
        <f>IF(F45=0,0,IF(G45&lt;=200,VLOOKUP(G45,บรรทุกสิบล้อ!$A$9:$C$208,3),(((G45-200)*บรรทุกสิบล้อ!$C$209)+บรรทุกสิบล้อ!$C$208)))</f>
        <v>118.96</v>
      </c>
      <c r="I45" s="910">
        <f t="shared" si="7"/>
        <v>538.96</v>
      </c>
      <c r="K45" s="913"/>
      <c r="L45" s="911">
        <f t="shared" si="8"/>
        <v>538.96</v>
      </c>
      <c r="M45" s="912">
        <f t="shared" si="9"/>
        <v>6</v>
      </c>
      <c r="N45" s="913"/>
    </row>
    <row r="46" spans="1:14" ht="20.100000000000001" customHeight="1" thickBot="1">
      <c r="F46" s="914"/>
      <c r="G46" s="914"/>
      <c r="H46" s="914" t="s">
        <v>1212</v>
      </c>
      <c r="I46" s="915">
        <f>MIN(I40:I45)</f>
        <v>437.27</v>
      </c>
      <c r="L46" s="895">
        <f t="shared" si="8"/>
        <v>437.27</v>
      </c>
      <c r="M46" s="916">
        <f>IF(L46=L40,M40,IF(L46=L41,M41,IF(L46=L42,M42,IF(L46=L43,M43,IF(L46=L44,M44,M45)))))</f>
        <v>1</v>
      </c>
    </row>
    <row r="47" spans="1:14" ht="20.100000000000001" customHeight="1" thickTop="1">
      <c r="B47" s="917" t="s">
        <v>1222</v>
      </c>
      <c r="C47" s="1463" t="str">
        <f>VLOOKUP(M46,A40:P45,2)</f>
        <v>สำนักงานพาณิชย์ จังหวัดพัทลุง</v>
      </c>
      <c r="D47" s="918"/>
      <c r="E47" s="918"/>
      <c r="F47" s="918"/>
      <c r="G47" s="916"/>
      <c r="H47" s="916"/>
      <c r="I47" s="916"/>
    </row>
    <row r="48" spans="1:14" ht="20.100000000000001" customHeight="1">
      <c r="A48" s="917" t="s">
        <v>129</v>
      </c>
      <c r="B48" s="919">
        <f>VLOOKUP(M46,A40:I45,6)</f>
        <v>373.83</v>
      </c>
      <c r="C48" s="1464" t="s">
        <v>183</v>
      </c>
      <c r="D48" s="917" t="s">
        <v>15</v>
      </c>
      <c r="E48" s="919">
        <f>VLOOKUP(M46,A40:I45,7)</f>
        <v>20</v>
      </c>
      <c r="F48" s="916" t="s">
        <v>181</v>
      </c>
      <c r="G48" s="917" t="s">
        <v>136</v>
      </c>
      <c r="H48" s="918">
        <f>VLOOKUP(M46,A40:I45,8)</f>
        <v>63.44</v>
      </c>
      <c r="I48" s="916" t="s">
        <v>183</v>
      </c>
    </row>
    <row r="49" spans="1:13" ht="20.100000000000001" customHeight="1">
      <c r="A49" s="916"/>
      <c r="B49" s="917"/>
      <c r="C49" s="1465"/>
      <c r="D49" s="916"/>
      <c r="E49" s="917"/>
      <c r="F49" s="916"/>
      <c r="G49" s="916"/>
      <c r="H49" s="916"/>
      <c r="I49" s="916"/>
    </row>
    <row r="50" spans="1:13" ht="20.100000000000001" customHeight="1">
      <c r="A50" s="900" t="s">
        <v>1223</v>
      </c>
      <c r="B50" s="901"/>
      <c r="C50" s="1460"/>
    </row>
    <row r="51" spans="1:13" ht="20.100000000000001" customHeight="1">
      <c r="A51" s="1583" t="s">
        <v>0</v>
      </c>
      <c r="B51" s="1584" t="s">
        <v>1210</v>
      </c>
      <c r="C51" s="1585"/>
      <c r="D51" s="1585"/>
      <c r="E51" s="1586"/>
      <c r="F51" s="903" t="s">
        <v>129</v>
      </c>
      <c r="G51" s="903" t="s">
        <v>1209</v>
      </c>
      <c r="H51" s="903" t="s">
        <v>136</v>
      </c>
      <c r="I51" s="903" t="s">
        <v>1211</v>
      </c>
    </row>
    <row r="52" spans="1:13" ht="20.100000000000001" customHeight="1">
      <c r="A52" s="1583"/>
      <c r="B52" s="1587"/>
      <c r="C52" s="1588"/>
      <c r="D52" s="1588"/>
      <c r="E52" s="1589"/>
      <c r="F52" s="904" t="s">
        <v>183</v>
      </c>
      <c r="G52" s="904" t="s">
        <v>181</v>
      </c>
      <c r="H52" s="904" t="s">
        <v>183</v>
      </c>
      <c r="I52" s="904" t="s">
        <v>183</v>
      </c>
    </row>
    <row r="53" spans="1:13" ht="20.100000000000001" customHeight="1">
      <c r="A53" s="905">
        <v>1</v>
      </c>
      <c r="B53" s="906" t="s">
        <v>1240</v>
      </c>
      <c r="C53" s="1461"/>
      <c r="D53" s="907"/>
      <c r="E53" s="908"/>
      <c r="F53" s="909">
        <v>467.29</v>
      </c>
      <c r="G53" s="909">
        <f t="shared" ref="G53:G58" si="10">G40</f>
        <v>20</v>
      </c>
      <c r="H53" s="910">
        <f>IF(F53=0,0,IF(G53&lt;=200,VLOOKUP(G53,บรรทุกสิบล้อ!$A$9:$C$208,3),(((G53-200)*บรรทุกสิบล้อ!$C$209)+บรรทุกสิบล้อ!$C$208)))</f>
        <v>63.44</v>
      </c>
      <c r="I53" s="910">
        <f t="shared" ref="I53:I58" si="11">IF(F53=0,"N/A",F53+H53)</f>
        <v>530.73</v>
      </c>
      <c r="K53" s="913"/>
      <c r="L53" s="911">
        <f t="shared" ref="L53:L59" si="12">I53</f>
        <v>530.73</v>
      </c>
      <c r="M53" s="912">
        <f t="shared" ref="M53:M58" si="13">A53</f>
        <v>1</v>
      </c>
    </row>
    <row r="54" spans="1:13" ht="20.100000000000001" customHeight="1">
      <c r="A54" s="905">
        <v>2</v>
      </c>
      <c r="B54" s="906" t="s">
        <v>1215</v>
      </c>
      <c r="C54" s="1461"/>
      <c r="D54" s="907"/>
      <c r="E54" s="908"/>
      <c r="F54" s="909">
        <v>420</v>
      </c>
      <c r="G54" s="909">
        <f t="shared" si="10"/>
        <v>64</v>
      </c>
      <c r="H54" s="910">
        <f>IF(F54=0,0,IF(G54&lt;=200,VLOOKUP(G54,บรรทุกสิบล้อ!$A$9:$C$208,3),(((G54-200)*บรรทุกสิบล้อ!$C$209)+บรรทุกสิบล้อ!$C$208)))</f>
        <v>199.11</v>
      </c>
      <c r="I54" s="910">
        <f t="shared" si="11"/>
        <v>619.11</v>
      </c>
      <c r="K54" s="922"/>
      <c r="L54" s="911">
        <f t="shared" si="12"/>
        <v>619.11</v>
      </c>
      <c r="M54" s="912">
        <f t="shared" si="13"/>
        <v>2</v>
      </c>
    </row>
    <row r="55" spans="1:13" ht="20.100000000000001" customHeight="1">
      <c r="A55" s="905">
        <v>3</v>
      </c>
      <c r="B55" s="906" t="s">
        <v>1216</v>
      </c>
      <c r="C55" s="1461"/>
      <c r="D55" s="907"/>
      <c r="E55" s="908"/>
      <c r="F55" s="909">
        <v>420</v>
      </c>
      <c r="G55" s="909">
        <f t="shared" si="10"/>
        <v>57</v>
      </c>
      <c r="H55" s="910">
        <f>IF(F55=0,0,IF(G55&lt;=200,VLOOKUP(G55,บรรทุกสิบล้อ!$A$9:$C$208,3),(((G55-200)*บรรทุกสิบล้อ!$C$209)+บรรทุกสิบล้อ!$C$208)))</f>
        <v>177.53</v>
      </c>
      <c r="I55" s="910">
        <f t="shared" si="11"/>
        <v>597.53</v>
      </c>
      <c r="K55" s="913"/>
      <c r="L55" s="911">
        <f t="shared" si="12"/>
        <v>597.53</v>
      </c>
      <c r="M55" s="912">
        <f t="shared" si="13"/>
        <v>3</v>
      </c>
    </row>
    <row r="56" spans="1:13" ht="20.100000000000001" customHeight="1">
      <c r="A56" s="905">
        <v>4</v>
      </c>
      <c r="B56" s="906" t="s">
        <v>1217</v>
      </c>
      <c r="C56" s="1461"/>
      <c r="D56" s="907"/>
      <c r="E56" s="908"/>
      <c r="F56" s="909">
        <v>420</v>
      </c>
      <c r="G56" s="909">
        <f t="shared" si="10"/>
        <v>53</v>
      </c>
      <c r="H56" s="910">
        <f>IF(F56=0,0,IF(G56&lt;=200,VLOOKUP(G56,บรรทุกสิบล้อ!$A$9:$C$208,3),(((G56-200)*บรรทุกสิบล้อ!$C$209)+บรรทุกสิบล้อ!$C$208)))</f>
        <v>165.19</v>
      </c>
      <c r="I56" s="910">
        <f t="shared" si="11"/>
        <v>585.19000000000005</v>
      </c>
      <c r="K56" s="913"/>
      <c r="L56" s="911">
        <f t="shared" si="12"/>
        <v>585.19000000000005</v>
      </c>
      <c r="M56" s="912">
        <f t="shared" si="13"/>
        <v>4</v>
      </c>
    </row>
    <row r="57" spans="1:13" ht="20.100000000000001" customHeight="1">
      <c r="A57" s="905">
        <v>5</v>
      </c>
      <c r="B57" s="906" t="s">
        <v>1218</v>
      </c>
      <c r="C57" s="1461"/>
      <c r="D57" s="907"/>
      <c r="E57" s="908"/>
      <c r="F57" s="909">
        <v>420</v>
      </c>
      <c r="G57" s="909">
        <f t="shared" si="10"/>
        <v>53</v>
      </c>
      <c r="H57" s="910">
        <f>IF(F57=0,0,IF(G57&lt;=200,VLOOKUP(G57,บรรทุกสิบล้อ!$A$9:$C$208,3),(((G57-200)*บรรทุกสิบล้อ!$C$209)+บรรทุกสิบล้อ!$C$208)))</f>
        <v>165.19</v>
      </c>
      <c r="I57" s="910">
        <f t="shared" si="11"/>
        <v>585.19000000000005</v>
      </c>
      <c r="K57" s="913"/>
      <c r="L57" s="911">
        <f t="shared" si="12"/>
        <v>585.19000000000005</v>
      </c>
      <c r="M57" s="912">
        <f t="shared" si="13"/>
        <v>5</v>
      </c>
    </row>
    <row r="58" spans="1:13" ht="20.100000000000001" customHeight="1">
      <c r="A58" s="905">
        <v>6</v>
      </c>
      <c r="B58" s="906" t="s">
        <v>1219</v>
      </c>
      <c r="C58" s="1461"/>
      <c r="D58" s="907"/>
      <c r="E58" s="908"/>
      <c r="F58" s="909">
        <v>420</v>
      </c>
      <c r="G58" s="909">
        <f t="shared" si="10"/>
        <v>38</v>
      </c>
      <c r="H58" s="910">
        <f>IF(F58=0,0,IF(G58&lt;=200,VLOOKUP(G58,บรรทุกสิบล้อ!$A$9:$C$208,3),(((G58-200)*บรรทุกสิบล้อ!$C$209)+บรรทุกสิบล้อ!$C$208)))</f>
        <v>118.96</v>
      </c>
      <c r="I58" s="910">
        <f t="shared" si="11"/>
        <v>538.96</v>
      </c>
      <c r="K58" s="913"/>
      <c r="L58" s="911">
        <f t="shared" si="12"/>
        <v>538.96</v>
      </c>
      <c r="M58" s="912">
        <f t="shared" si="13"/>
        <v>6</v>
      </c>
    </row>
    <row r="59" spans="1:13" ht="20.100000000000001" customHeight="1" thickBot="1">
      <c r="F59" s="914"/>
      <c r="G59" s="914"/>
      <c r="H59" s="914" t="s">
        <v>1212</v>
      </c>
      <c r="I59" s="915">
        <f>MIN(I53:I58)</f>
        <v>530.73</v>
      </c>
      <c r="L59" s="895">
        <f t="shared" si="12"/>
        <v>530.73</v>
      </c>
      <c r="M59" s="916">
        <f>IF(L59=L53,M53,IF(L59=L54,M54,IF(L59=L55,M55,IF(L59=L56,M56,IF(L59=L57,M57,M58)))))</f>
        <v>1</v>
      </c>
    </row>
    <row r="60" spans="1:13" ht="20.100000000000001" customHeight="1" thickTop="1">
      <c r="B60" s="917" t="s">
        <v>1224</v>
      </c>
      <c r="C60" s="1463" t="str">
        <f>VLOOKUP(M59,A53:P58,2)</f>
        <v>สำนักงานพาณิชย์ จังหวัดพัทลุง</v>
      </c>
      <c r="D60" s="918"/>
      <c r="E60" s="918"/>
      <c r="F60" s="918"/>
      <c r="G60" s="916"/>
      <c r="H60" s="916"/>
      <c r="I60" s="916"/>
    </row>
    <row r="61" spans="1:13" ht="20.100000000000001" customHeight="1">
      <c r="A61" s="917" t="s">
        <v>129</v>
      </c>
      <c r="B61" s="919">
        <f>VLOOKUP(M59,A53:I58,6)</f>
        <v>467.29</v>
      </c>
      <c r="C61" s="1464" t="s">
        <v>183</v>
      </c>
      <c r="D61" s="917" t="s">
        <v>15</v>
      </c>
      <c r="E61" s="919">
        <f>VLOOKUP(M59,A53:I58,7)</f>
        <v>20</v>
      </c>
      <c r="F61" s="916" t="s">
        <v>181</v>
      </c>
      <c r="G61" s="917" t="s">
        <v>136</v>
      </c>
      <c r="H61" s="918">
        <f>VLOOKUP(M59,A53:I58,8)</f>
        <v>63.44</v>
      </c>
      <c r="I61" s="916" t="s">
        <v>183</v>
      </c>
    </row>
    <row r="62" spans="1:13" ht="20.100000000000001" customHeight="1"/>
    <row r="63" spans="1:13" ht="20.100000000000001" customHeight="1">
      <c r="A63" s="900" t="s">
        <v>1225</v>
      </c>
      <c r="B63" s="901"/>
      <c r="C63" s="1460"/>
    </row>
    <row r="64" spans="1:13" ht="20.100000000000001" customHeight="1">
      <c r="A64" s="1583" t="s">
        <v>0</v>
      </c>
      <c r="B64" s="1584" t="s">
        <v>1210</v>
      </c>
      <c r="C64" s="1585"/>
      <c r="D64" s="1585"/>
      <c r="E64" s="1586"/>
      <c r="F64" s="903" t="s">
        <v>129</v>
      </c>
      <c r="G64" s="903" t="s">
        <v>1209</v>
      </c>
      <c r="H64" s="903" t="s">
        <v>136</v>
      </c>
      <c r="I64" s="903" t="s">
        <v>1211</v>
      </c>
    </row>
    <row r="65" spans="1:14" ht="20.100000000000001" customHeight="1">
      <c r="A65" s="1583"/>
      <c r="B65" s="1587"/>
      <c r="C65" s="1588"/>
      <c r="D65" s="1588"/>
      <c r="E65" s="1589"/>
      <c r="F65" s="904" t="s">
        <v>183</v>
      </c>
      <c r="G65" s="904" t="s">
        <v>181</v>
      </c>
      <c r="H65" s="904" t="s">
        <v>183</v>
      </c>
      <c r="I65" s="904" t="s">
        <v>183</v>
      </c>
    </row>
    <row r="66" spans="1:14" ht="20.100000000000001" customHeight="1">
      <c r="A66" s="905">
        <v>1</v>
      </c>
      <c r="B66" s="906" t="s">
        <v>1240</v>
      </c>
      <c r="C66" s="1461"/>
      <c r="D66" s="907"/>
      <c r="E66" s="908"/>
      <c r="F66" s="909">
        <v>233.64</v>
      </c>
      <c r="G66" s="909">
        <f>G11</f>
        <v>20</v>
      </c>
      <c r="H66" s="910">
        <f>IF(F66=0,0,IF(G66&lt;=200,VLOOKUP(G66,บรรทุกสิบล้อ!$A$9:$C$208,3),(((G66-200)*บรรทุกสิบล้อ!$C$209)+บรรทุกสิบล้อ!$C$208)))</f>
        <v>63.44</v>
      </c>
      <c r="I66" s="910">
        <f t="shared" ref="I66:I72" si="14">IF(F66=0,"N/A",F66+H66)</f>
        <v>297.08</v>
      </c>
      <c r="K66" s="913"/>
      <c r="L66" s="911">
        <f t="shared" ref="L66:L73" si="15">I66</f>
        <v>297.08</v>
      </c>
      <c r="M66" s="912">
        <f t="shared" ref="M66:M72" si="16">A66</f>
        <v>1</v>
      </c>
      <c r="N66" s="913"/>
    </row>
    <row r="67" spans="1:14" ht="20.100000000000001" customHeight="1">
      <c r="A67" s="905">
        <v>2</v>
      </c>
      <c r="B67" s="906" t="s">
        <v>1226</v>
      </c>
      <c r="C67" s="1461"/>
      <c r="D67" s="907"/>
      <c r="E67" s="908"/>
      <c r="F67" s="909">
        <v>55</v>
      </c>
      <c r="G67" s="909">
        <v>23</v>
      </c>
      <c r="H67" s="910">
        <f>IF(F67=0,0,IF(G67&lt;=200,VLOOKUP(G67,บรรทุกสิบล้อ!$A$9:$C$208,3),(((G67-200)*บรรทุกสิบล้อ!$C$209)+บรรทุกสิบล้อ!$C$208)))</f>
        <v>72.680000000000007</v>
      </c>
      <c r="I67" s="910">
        <f t="shared" si="14"/>
        <v>127.68</v>
      </c>
      <c r="K67" s="922"/>
      <c r="L67" s="911">
        <f t="shared" si="15"/>
        <v>127.68</v>
      </c>
      <c r="M67" s="912">
        <f t="shared" si="16"/>
        <v>2</v>
      </c>
      <c r="N67" s="913"/>
    </row>
    <row r="68" spans="1:14" ht="20.100000000000001" customHeight="1">
      <c r="A68" s="905">
        <v>3</v>
      </c>
      <c r="B68" s="906" t="s">
        <v>1227</v>
      </c>
      <c r="C68" s="1461"/>
      <c r="D68" s="907"/>
      <c r="E68" s="908"/>
      <c r="F68" s="909">
        <v>55</v>
      </c>
      <c r="G68" s="909">
        <v>104</v>
      </c>
      <c r="H68" s="910">
        <f>IF(F68=0,0,IF(G68&lt;=200,VLOOKUP(G68,บรรทุกสิบล้อ!$A$9:$C$208,3),(((G68-200)*บรรทุกสิบล้อ!$C$209)+บรรทุกสิบล้อ!$C$208)))</f>
        <v>322.5</v>
      </c>
      <c r="I68" s="910">
        <f t="shared" si="14"/>
        <v>377.5</v>
      </c>
      <c r="K68" s="913"/>
      <c r="L68" s="911">
        <f t="shared" si="15"/>
        <v>377.5</v>
      </c>
      <c r="M68" s="912">
        <f t="shared" si="16"/>
        <v>3</v>
      </c>
      <c r="N68" s="913"/>
    </row>
    <row r="69" spans="1:14" ht="20.100000000000001" customHeight="1">
      <c r="A69" s="905">
        <v>4</v>
      </c>
      <c r="B69" s="906" t="s">
        <v>1228</v>
      </c>
      <c r="C69" s="1461"/>
      <c r="D69" s="907"/>
      <c r="E69" s="908"/>
      <c r="F69" s="909">
        <v>55</v>
      </c>
      <c r="G69" s="909">
        <v>108</v>
      </c>
      <c r="H69" s="910">
        <f>IF(F69=0,0,IF(G69&lt;=200,VLOOKUP(G69,บรรทุกสิบล้อ!$A$9:$C$208,3),(((G69-200)*บรรทุกสิบล้อ!$C$209)+บรรทุกสิบล้อ!$C$208)))</f>
        <v>334.76</v>
      </c>
      <c r="I69" s="910">
        <f t="shared" si="14"/>
        <v>389.76</v>
      </c>
      <c r="K69" s="913"/>
      <c r="L69" s="911">
        <f t="shared" si="15"/>
        <v>389.76</v>
      </c>
      <c r="M69" s="912">
        <f t="shared" si="16"/>
        <v>4</v>
      </c>
      <c r="N69" s="913"/>
    </row>
    <row r="70" spans="1:14" ht="20.100000000000001" customHeight="1">
      <c r="A70" s="905">
        <v>5</v>
      </c>
      <c r="B70" s="906" t="s">
        <v>1229</v>
      </c>
      <c r="C70" s="1461"/>
      <c r="D70" s="907"/>
      <c r="E70" s="908"/>
      <c r="F70" s="909">
        <v>55</v>
      </c>
      <c r="G70" s="909">
        <v>68</v>
      </c>
      <c r="H70" s="910">
        <f>IF(F70=0,0,IF(G70&lt;=200,VLOOKUP(G70,บรรทุกสิบล้อ!$A$9:$C$208,3),(((G70-200)*บรรทุกสิบล้อ!$C$209)+บรรทุกสิบล้อ!$C$208)))</f>
        <v>211.43</v>
      </c>
      <c r="I70" s="910">
        <f t="shared" si="14"/>
        <v>266.43</v>
      </c>
      <c r="K70" s="913"/>
      <c r="L70" s="911">
        <f t="shared" si="15"/>
        <v>266.43</v>
      </c>
      <c r="M70" s="912">
        <f t="shared" si="16"/>
        <v>5</v>
      </c>
      <c r="N70" s="913"/>
    </row>
    <row r="71" spans="1:14" ht="20.100000000000001" customHeight="1">
      <c r="A71" s="905">
        <v>6</v>
      </c>
      <c r="B71" s="906" t="s">
        <v>1230</v>
      </c>
      <c r="C71" s="1461"/>
      <c r="D71" s="907"/>
      <c r="E71" s="908"/>
      <c r="F71" s="909">
        <v>55</v>
      </c>
      <c r="G71" s="909">
        <v>95</v>
      </c>
      <c r="H71" s="910">
        <f>IF(F71=0,0,IF(G71&lt;=200,VLOOKUP(G71,บรรทุกสิบล้อ!$A$9:$C$208,3),(((G71-200)*บรรทุกสิบล้อ!$C$209)+บรรทุกสิบล้อ!$C$208)))</f>
        <v>294.66000000000003</v>
      </c>
      <c r="I71" s="910">
        <f>IF(F71=0,"N/A",F71+H71)</f>
        <v>349.66</v>
      </c>
      <c r="K71" s="913"/>
      <c r="L71" s="911">
        <f>I71</f>
        <v>349.66</v>
      </c>
      <c r="M71" s="912">
        <f>A71</f>
        <v>6</v>
      </c>
      <c r="N71" s="913"/>
    </row>
    <row r="72" spans="1:14" ht="20.100000000000001" customHeight="1">
      <c r="A72" s="905">
        <v>7</v>
      </c>
      <c r="B72" s="906" t="s">
        <v>1799</v>
      </c>
      <c r="C72" s="1461"/>
      <c r="D72" s="907"/>
      <c r="E72" s="908"/>
      <c r="F72" s="909">
        <v>0</v>
      </c>
      <c r="G72" s="909">
        <v>33</v>
      </c>
      <c r="H72" s="910">
        <f>IF(F72=0,0,IF(G72&lt;=200,VLOOKUP(G72,บรรทุกสิบล้อ!$A$9:$C$208,3),(((G72-200)*บรรทุกสิบล้อ!$C$209)+บรรทุกสิบล้อ!$C$208)))</f>
        <v>0</v>
      </c>
      <c r="I72" s="910" t="str">
        <f t="shared" si="14"/>
        <v>N/A</v>
      </c>
      <c r="K72" s="913"/>
      <c r="L72" s="911" t="str">
        <f t="shared" si="15"/>
        <v>N/A</v>
      </c>
      <c r="M72" s="912">
        <f t="shared" si="16"/>
        <v>7</v>
      </c>
      <c r="N72" s="913"/>
    </row>
    <row r="73" spans="1:14" ht="20.100000000000001" customHeight="1" thickBot="1">
      <c r="F73" s="914"/>
      <c r="G73" s="914"/>
      <c r="H73" s="914" t="s">
        <v>1212</v>
      </c>
      <c r="I73" s="915">
        <f>MIN(I66:I72)</f>
        <v>127.68</v>
      </c>
      <c r="L73" s="895">
        <f t="shared" si="15"/>
        <v>127.68</v>
      </c>
      <c r="M73" s="916">
        <f>IF(L73=L66,M66,IF(L73=L67,M67,IF(L73=L68,M68,IF(L73=L69,M69,IF(L73=L70,M70,IF(L73=L71,M71,M72))))))</f>
        <v>2</v>
      </c>
    </row>
    <row r="74" spans="1:14" ht="20.100000000000001" customHeight="1" thickTop="1">
      <c r="B74" s="917" t="s">
        <v>1652</v>
      </c>
      <c r="C74" s="1463" t="str">
        <f>VLOOKUP(M73,A66:N72,2)</f>
        <v>บ้านห้วยศรีเกษร อ.ป่าพะยอม จ.พัทลุง</v>
      </c>
      <c r="D74" s="918"/>
      <c r="E74" s="918"/>
      <c r="F74" s="918"/>
      <c r="G74" s="916"/>
      <c r="H74" s="916"/>
      <c r="I74" s="916"/>
    </row>
    <row r="75" spans="1:14" ht="20.100000000000001" customHeight="1">
      <c r="A75" s="917" t="s">
        <v>129</v>
      </c>
      <c r="B75" s="919">
        <f>VLOOKUP(M73,A66:I72,6)</f>
        <v>55</v>
      </c>
      <c r="C75" s="1464" t="s">
        <v>183</v>
      </c>
      <c r="D75" s="917" t="s">
        <v>15</v>
      </c>
      <c r="E75" s="919">
        <f>VLOOKUP(M73,A66:I72,7)</f>
        <v>23</v>
      </c>
      <c r="F75" s="916" t="s">
        <v>181</v>
      </c>
      <c r="G75" s="917" t="s">
        <v>136</v>
      </c>
      <c r="H75" s="918">
        <f>VLOOKUP(M73,A66:I72,8)</f>
        <v>72.680000000000007</v>
      </c>
      <c r="I75" s="916" t="s">
        <v>183</v>
      </c>
    </row>
    <row r="76" spans="1:14" ht="20.100000000000001" customHeight="1">
      <c r="A76" s="917"/>
      <c r="B76" s="1475"/>
      <c r="C76" s="1476"/>
      <c r="D76" s="1477"/>
      <c r="E76" s="1475"/>
      <c r="F76" s="1449"/>
      <c r="G76" s="1477"/>
      <c r="H76" s="1449"/>
      <c r="I76" s="916"/>
    </row>
    <row r="77" spans="1:14" ht="20.100000000000001" customHeight="1">
      <c r="A77" s="900" t="s">
        <v>1973</v>
      </c>
      <c r="B77" s="901"/>
      <c r="C77" s="1460"/>
    </row>
    <row r="78" spans="1:14" ht="20.100000000000001" customHeight="1">
      <c r="A78" s="923" t="s">
        <v>2030</v>
      </c>
      <c r="B78" s="924" t="s">
        <v>1240</v>
      </c>
      <c r="C78" s="1466"/>
      <c r="D78" s="924"/>
      <c r="E78" s="924"/>
      <c r="G78" s="925" t="s">
        <v>910</v>
      </c>
      <c r="H78" s="926"/>
      <c r="I78" s="924">
        <f>G11</f>
        <v>20</v>
      </c>
      <c r="J78" s="927" t="s">
        <v>181</v>
      </c>
    </row>
    <row r="79" spans="1:14" ht="20.100000000000001" customHeight="1">
      <c r="A79" s="926" t="s">
        <v>143</v>
      </c>
      <c r="B79" s="924">
        <v>242.99</v>
      </c>
      <c r="C79" s="1467" t="s">
        <v>183</v>
      </c>
      <c r="D79" s="926" t="s">
        <v>136</v>
      </c>
      <c r="E79" s="928">
        <f>IF(B79=0,0,IF(I78&lt;=200,VLOOKUP(I78,บรรทุกสิบล้อ!$A$9:$C$208,3),(((I78-200)*บรรทุกสิบล้อ!$C$209)+บรรทุกสิบล้อ!$C$208)))</f>
        <v>63.44</v>
      </c>
      <c r="F79" s="927" t="s">
        <v>183</v>
      </c>
      <c r="G79" s="926" t="s">
        <v>911</v>
      </c>
      <c r="H79" s="926"/>
      <c r="I79" s="920">
        <f>IF(B79=0,0,B79+E79)</f>
        <v>306.43</v>
      </c>
      <c r="J79" s="927" t="s">
        <v>183</v>
      </c>
    </row>
    <row r="80" spans="1:14" ht="20.100000000000001" customHeight="1">
      <c r="A80" s="926" t="s">
        <v>144</v>
      </c>
      <c r="B80" s="924">
        <v>242.99</v>
      </c>
      <c r="C80" s="1467" t="s">
        <v>183</v>
      </c>
      <c r="D80" s="926" t="s">
        <v>136</v>
      </c>
      <c r="E80" s="928">
        <f>IF(B80=0,0,E79)</f>
        <v>63.44</v>
      </c>
      <c r="F80" s="927" t="s">
        <v>183</v>
      </c>
      <c r="G80" s="926" t="s">
        <v>911</v>
      </c>
      <c r="H80" s="926"/>
      <c r="I80" s="920">
        <f t="shared" ref="I80:I85" si="17">IF(B80=0,0,B80+E80)</f>
        <v>306.43</v>
      </c>
      <c r="J80" s="927" t="s">
        <v>183</v>
      </c>
    </row>
    <row r="81" spans="1:19" ht="20.100000000000001" customHeight="1">
      <c r="A81" s="926" t="s">
        <v>145</v>
      </c>
      <c r="B81" s="924">
        <v>317.76</v>
      </c>
      <c r="C81" s="1467" t="s">
        <v>183</v>
      </c>
      <c r="D81" s="926" t="s">
        <v>136</v>
      </c>
      <c r="E81" s="928">
        <f>IF(B81=0,0,E79)</f>
        <v>63.44</v>
      </c>
      <c r="F81" s="927" t="s">
        <v>183</v>
      </c>
      <c r="G81" s="926" t="s">
        <v>911</v>
      </c>
      <c r="H81" s="926"/>
      <c r="I81" s="920">
        <f t="shared" si="17"/>
        <v>381.2</v>
      </c>
      <c r="J81" s="927" t="s">
        <v>183</v>
      </c>
    </row>
    <row r="82" spans="1:19" ht="20.100000000000001" customHeight="1">
      <c r="A82" s="926" t="s">
        <v>146</v>
      </c>
      <c r="B82" s="924">
        <v>420.56</v>
      </c>
      <c r="C82" s="1467" t="s">
        <v>183</v>
      </c>
      <c r="D82" s="926" t="s">
        <v>136</v>
      </c>
      <c r="E82" s="928">
        <f>IF(B82=0,0,E79)</f>
        <v>63.44</v>
      </c>
      <c r="F82" s="927" t="s">
        <v>183</v>
      </c>
      <c r="G82" s="926" t="s">
        <v>911</v>
      </c>
      <c r="H82" s="926"/>
      <c r="I82" s="920">
        <f t="shared" si="17"/>
        <v>484</v>
      </c>
      <c r="J82" s="927" t="s">
        <v>183</v>
      </c>
    </row>
    <row r="83" spans="1:19" ht="20.100000000000001" customHeight="1">
      <c r="A83" s="926" t="s">
        <v>147</v>
      </c>
      <c r="B83" s="924">
        <v>299.07</v>
      </c>
      <c r="C83" s="1467" t="s">
        <v>183</v>
      </c>
      <c r="D83" s="926" t="s">
        <v>136</v>
      </c>
      <c r="E83" s="928">
        <f>IF(B83=0,0,E79)</f>
        <v>63.44</v>
      </c>
      <c r="F83" s="927" t="s">
        <v>183</v>
      </c>
      <c r="G83" s="926" t="s">
        <v>911</v>
      </c>
      <c r="H83" s="926"/>
      <c r="I83" s="920">
        <f t="shared" si="17"/>
        <v>362.51</v>
      </c>
      <c r="J83" s="927" t="s">
        <v>183</v>
      </c>
    </row>
    <row r="84" spans="1:19" ht="20.100000000000001" customHeight="1">
      <c r="A84" s="926" t="s">
        <v>148</v>
      </c>
      <c r="B84" s="924">
        <v>420.56</v>
      </c>
      <c r="C84" s="1467" t="s">
        <v>183</v>
      </c>
      <c r="D84" s="926" t="s">
        <v>136</v>
      </c>
      <c r="E84" s="928">
        <f>IF(B84=0,0,E79)</f>
        <v>63.44</v>
      </c>
      <c r="F84" s="927" t="s">
        <v>183</v>
      </c>
      <c r="G84" s="926" t="s">
        <v>911</v>
      </c>
      <c r="H84" s="926"/>
      <c r="I84" s="920">
        <f t="shared" si="17"/>
        <v>484</v>
      </c>
      <c r="J84" s="927" t="s">
        <v>183</v>
      </c>
    </row>
    <row r="85" spans="1:19" ht="20.100000000000001" customHeight="1">
      <c r="A85" s="926" t="s">
        <v>149</v>
      </c>
      <c r="B85" s="924">
        <v>308.41000000000003</v>
      </c>
      <c r="C85" s="1467" t="s">
        <v>183</v>
      </c>
      <c r="D85" s="926" t="s">
        <v>136</v>
      </c>
      <c r="E85" s="928">
        <f>IF(B85=0,0,E79)</f>
        <v>63.44</v>
      </c>
      <c r="F85" s="927" t="s">
        <v>183</v>
      </c>
      <c r="G85" s="926" t="s">
        <v>911</v>
      </c>
      <c r="H85" s="926"/>
      <c r="I85" s="920">
        <f t="shared" si="17"/>
        <v>371.85</v>
      </c>
      <c r="J85" s="927" t="s">
        <v>183</v>
      </c>
    </row>
    <row r="86" spans="1:19" ht="20.100000000000001" customHeight="1"/>
    <row r="87" spans="1:19" ht="20.100000000000001" customHeight="1">
      <c r="A87" s="923" t="s">
        <v>2029</v>
      </c>
      <c r="B87" s="924" t="s">
        <v>2032</v>
      </c>
      <c r="C87" s="1466"/>
      <c r="D87" s="924"/>
      <c r="E87" s="924"/>
      <c r="G87" s="925" t="s">
        <v>910</v>
      </c>
      <c r="H87" s="926"/>
      <c r="I87" s="924">
        <v>20</v>
      </c>
      <c r="J87" s="927" t="s">
        <v>181</v>
      </c>
    </row>
    <row r="88" spans="1:19" ht="20.100000000000001" customHeight="1">
      <c r="A88" s="926" t="s">
        <v>143</v>
      </c>
      <c r="B88" s="924">
        <v>225</v>
      </c>
      <c r="C88" s="1467" t="s">
        <v>183</v>
      </c>
      <c r="D88" s="926" t="s">
        <v>136</v>
      </c>
      <c r="E88" s="928">
        <f>IF(B88=0,0,IF(I87&lt;=200,VLOOKUP(I87,บรรทุกสิบล้อ!$A$9:$C$208,3),(((I87-200)*บรรทุกสิบล้อ!$C$209)+บรรทุกสิบล้อ!$C$208)))</f>
        <v>63.44</v>
      </c>
      <c r="F88" s="927" t="s">
        <v>183</v>
      </c>
      <c r="G88" s="926" t="s">
        <v>911</v>
      </c>
      <c r="H88" s="926"/>
      <c r="I88" s="920">
        <f>IF(B88=0,0,B88+E88)</f>
        <v>288.44</v>
      </c>
      <c r="J88" s="927" t="s">
        <v>183</v>
      </c>
      <c r="K88" s="895" t="s">
        <v>143</v>
      </c>
      <c r="L88" s="895">
        <f>IF(AND(I79=0,I88=0),I97,IF(AND(I88=0,I97=0),I79,IF(AND(I79=0,I97=0),I88,IF(I79=0,MIN(I88,I97),IF(I88=0,MIN(I79,I97),IF(I97=0,MIN(I79,I88),MIN(I79,I88,I97)))))))</f>
        <v>288.44</v>
      </c>
      <c r="M88" s="895" t="str">
        <f>IF(L88=0,0,IF(L88=I79,$B$78,IF(L88=I88,$B$87,$B$96)))</f>
        <v>หจก.เอเซียพัทลุงวิศวกรรม</v>
      </c>
      <c r="Q88" s="895">
        <f>IF(L88=0,0,IF(L88=I79,B79,IF(L88=I88,B88,B97)))</f>
        <v>225</v>
      </c>
      <c r="R88" s="895">
        <f>IF(L88=0,0,IF(L88=I79,$I$78,IF(L88=I88,$I$87,$I$96)))</f>
        <v>20</v>
      </c>
      <c r="S88" s="895">
        <f>IF(L88=0,0,IF(L88=I79,E79,IF(L88=I88,E88,E97)))</f>
        <v>63.44</v>
      </c>
    </row>
    <row r="89" spans="1:19" ht="20.100000000000001" customHeight="1">
      <c r="A89" s="926" t="s">
        <v>144</v>
      </c>
      <c r="B89" s="924">
        <v>275</v>
      </c>
      <c r="C89" s="1467" t="s">
        <v>183</v>
      </c>
      <c r="D89" s="926" t="s">
        <v>136</v>
      </c>
      <c r="E89" s="928">
        <f>IF(B89=0,0,E88)</f>
        <v>63.44</v>
      </c>
      <c r="F89" s="927" t="s">
        <v>183</v>
      </c>
      <c r="G89" s="926" t="s">
        <v>911</v>
      </c>
      <c r="H89" s="926"/>
      <c r="I89" s="920">
        <f t="shared" ref="I89:I94" si="18">IF(B89=0,0,B89+E89)</f>
        <v>338.44</v>
      </c>
      <c r="J89" s="927" t="s">
        <v>183</v>
      </c>
      <c r="K89" s="895" t="s">
        <v>144</v>
      </c>
      <c r="L89" s="895">
        <f t="shared" ref="L89:L94" si="19">IF(AND(I80=0,I89=0),I98,IF(AND(I89=0,I98=0),I80,IF(AND(I80=0,I98=0),I89,IF(I80=0,MIN(I89,I98),IF(I89=0,MIN(I80,I98),IF(I98=0,MIN(I80,I89),MIN(I80,I89,I98)))))))</f>
        <v>306.43</v>
      </c>
      <c r="M89" s="895" t="str">
        <f t="shared" ref="M89:M94" si="20">IF(L89=0,0,IF(L89=I80,$B$78,IF(L89=I89,$B$87,$B$96)))</f>
        <v>สำนักงานพาณิชย์ จังหวัดพัทลุง</v>
      </c>
      <c r="Q89" s="895">
        <f t="shared" ref="Q89:Q94" si="21">IF(L89=0,0,IF(L89=I80,B80,IF(L89=I89,B89,B98)))</f>
        <v>242.99</v>
      </c>
      <c r="R89" s="895">
        <f t="shared" ref="R89:R94" si="22">IF(L89=0,0,IF(L89=I80,$I$78,IF(L89=I89,$I$87,$I$96)))</f>
        <v>20</v>
      </c>
      <c r="S89" s="895">
        <f t="shared" ref="S89:S94" si="23">IF(L89=0,0,IF(L89=I80,E80,IF(L89=I89,E89,E98)))</f>
        <v>63.44</v>
      </c>
    </row>
    <row r="90" spans="1:19" ht="20.100000000000001" customHeight="1">
      <c r="A90" s="926" t="s">
        <v>145</v>
      </c>
      <c r="B90" s="924">
        <v>340</v>
      </c>
      <c r="C90" s="1467" t="s">
        <v>183</v>
      </c>
      <c r="D90" s="926" t="s">
        <v>136</v>
      </c>
      <c r="E90" s="928">
        <f>IF(B90=0,0,E88)</f>
        <v>63.44</v>
      </c>
      <c r="F90" s="927" t="s">
        <v>183</v>
      </c>
      <c r="G90" s="926" t="s">
        <v>911</v>
      </c>
      <c r="H90" s="926"/>
      <c r="I90" s="920">
        <f t="shared" si="18"/>
        <v>403.44</v>
      </c>
      <c r="J90" s="927" t="s">
        <v>183</v>
      </c>
      <c r="K90" s="895" t="s">
        <v>145</v>
      </c>
      <c r="L90" s="895">
        <f t="shared" si="19"/>
        <v>381.2</v>
      </c>
      <c r="M90" s="895" t="str">
        <f t="shared" si="20"/>
        <v>สำนักงานพาณิชย์ จังหวัดพัทลุง</v>
      </c>
      <c r="Q90" s="895">
        <f t="shared" si="21"/>
        <v>317.76</v>
      </c>
      <c r="R90" s="895">
        <f t="shared" si="22"/>
        <v>20</v>
      </c>
      <c r="S90" s="895">
        <f t="shared" si="23"/>
        <v>63.44</v>
      </c>
    </row>
    <row r="91" spans="1:19" ht="20.100000000000001" customHeight="1">
      <c r="A91" s="926" t="s">
        <v>146</v>
      </c>
      <c r="B91" s="924">
        <v>0</v>
      </c>
      <c r="C91" s="1467" t="s">
        <v>183</v>
      </c>
      <c r="D91" s="926" t="s">
        <v>136</v>
      </c>
      <c r="E91" s="928">
        <f>IF(B91=0,0,E88)</f>
        <v>0</v>
      </c>
      <c r="F91" s="927" t="s">
        <v>183</v>
      </c>
      <c r="G91" s="926" t="s">
        <v>911</v>
      </c>
      <c r="H91" s="926"/>
      <c r="I91" s="920">
        <f t="shared" si="18"/>
        <v>0</v>
      </c>
      <c r="J91" s="927" t="s">
        <v>183</v>
      </c>
      <c r="K91" s="895" t="s">
        <v>146</v>
      </c>
      <c r="L91" s="895">
        <f t="shared" si="19"/>
        <v>443.44</v>
      </c>
      <c r="M91" s="895" t="str">
        <f t="shared" si="20"/>
        <v>กฤษณ์ศิลาพร ม.5 ต.พนมวังก์ อ.ควนขนุน จ.พัทลุง</v>
      </c>
      <c r="Q91" s="895">
        <f t="shared" si="21"/>
        <v>380</v>
      </c>
      <c r="R91" s="895">
        <f t="shared" si="22"/>
        <v>20</v>
      </c>
      <c r="S91" s="895">
        <f t="shared" si="23"/>
        <v>63.44</v>
      </c>
    </row>
    <row r="92" spans="1:19" ht="20.100000000000001" customHeight="1">
      <c r="A92" s="926" t="s">
        <v>147</v>
      </c>
      <c r="B92" s="924">
        <v>300</v>
      </c>
      <c r="C92" s="1467" t="s">
        <v>183</v>
      </c>
      <c r="D92" s="926" t="s">
        <v>136</v>
      </c>
      <c r="E92" s="928">
        <f>IF(B92=0,0,E88)</f>
        <v>63.44</v>
      </c>
      <c r="F92" s="927" t="s">
        <v>183</v>
      </c>
      <c r="G92" s="926" t="s">
        <v>911</v>
      </c>
      <c r="H92" s="926"/>
      <c r="I92" s="920">
        <f t="shared" si="18"/>
        <v>363.44</v>
      </c>
      <c r="J92" s="927" t="s">
        <v>183</v>
      </c>
      <c r="K92" s="895" t="s">
        <v>147</v>
      </c>
      <c r="L92" s="895">
        <f t="shared" si="19"/>
        <v>362.51</v>
      </c>
      <c r="M92" s="895" t="str">
        <f t="shared" si="20"/>
        <v>สำนักงานพาณิชย์ จังหวัดพัทลุง</v>
      </c>
      <c r="Q92" s="895">
        <f t="shared" si="21"/>
        <v>299.07</v>
      </c>
      <c r="R92" s="895">
        <f t="shared" si="22"/>
        <v>20</v>
      </c>
      <c r="S92" s="895">
        <f t="shared" si="23"/>
        <v>63.44</v>
      </c>
    </row>
    <row r="93" spans="1:19" ht="20.100000000000001" customHeight="1">
      <c r="A93" s="926" t="s">
        <v>148</v>
      </c>
      <c r="B93" s="924">
        <v>0</v>
      </c>
      <c r="C93" s="1467" t="s">
        <v>183</v>
      </c>
      <c r="D93" s="926" t="s">
        <v>136</v>
      </c>
      <c r="E93" s="928">
        <f>IF(B93=0,0,E88)</f>
        <v>0</v>
      </c>
      <c r="F93" s="927" t="s">
        <v>183</v>
      </c>
      <c r="G93" s="926" t="s">
        <v>911</v>
      </c>
      <c r="H93" s="926"/>
      <c r="I93" s="920">
        <f t="shared" si="18"/>
        <v>0</v>
      </c>
      <c r="J93" s="927" t="s">
        <v>183</v>
      </c>
      <c r="K93" s="895" t="s">
        <v>148</v>
      </c>
      <c r="L93" s="895">
        <f t="shared" si="19"/>
        <v>484</v>
      </c>
      <c r="M93" s="895" t="str">
        <f t="shared" si="20"/>
        <v>สำนักงานพาณิชย์ จังหวัดพัทลุง</v>
      </c>
      <c r="Q93" s="895">
        <f t="shared" si="21"/>
        <v>420.56</v>
      </c>
      <c r="R93" s="895">
        <f t="shared" si="22"/>
        <v>20</v>
      </c>
      <c r="S93" s="895">
        <f t="shared" si="23"/>
        <v>63.44</v>
      </c>
    </row>
    <row r="94" spans="1:19" ht="20.100000000000001" customHeight="1">
      <c r="A94" s="926" t="s">
        <v>149</v>
      </c>
      <c r="B94" s="924">
        <v>0</v>
      </c>
      <c r="C94" s="1467" t="s">
        <v>183</v>
      </c>
      <c r="D94" s="926" t="s">
        <v>136</v>
      </c>
      <c r="E94" s="928">
        <f>IF(B94=0,0,E88)</f>
        <v>0</v>
      </c>
      <c r="F94" s="927" t="s">
        <v>183</v>
      </c>
      <c r="G94" s="926" t="s">
        <v>911</v>
      </c>
      <c r="H94" s="926"/>
      <c r="I94" s="920">
        <f t="shared" si="18"/>
        <v>0</v>
      </c>
      <c r="J94" s="927" t="s">
        <v>183</v>
      </c>
      <c r="K94" s="895" t="s">
        <v>149</v>
      </c>
      <c r="L94" s="895">
        <f t="shared" si="19"/>
        <v>371.85</v>
      </c>
      <c r="M94" s="895" t="str">
        <f t="shared" si="20"/>
        <v>สำนักงานพาณิชย์ จังหวัดพัทลุง</v>
      </c>
      <c r="Q94" s="895">
        <f t="shared" si="21"/>
        <v>308.41000000000003</v>
      </c>
      <c r="R94" s="895">
        <f t="shared" si="22"/>
        <v>20</v>
      </c>
      <c r="S94" s="895">
        <f t="shared" si="23"/>
        <v>63.44</v>
      </c>
    </row>
    <row r="95" spans="1:19" ht="20.100000000000001" customHeight="1"/>
    <row r="96" spans="1:19" ht="20.100000000000001" customHeight="1">
      <c r="A96" s="923" t="s">
        <v>2031</v>
      </c>
      <c r="B96" s="924" t="s">
        <v>1231</v>
      </c>
      <c r="C96" s="1466"/>
      <c r="D96" s="924"/>
      <c r="E96" s="924"/>
      <c r="G96" s="925" t="s">
        <v>910</v>
      </c>
      <c r="H96" s="926"/>
      <c r="I96" s="924">
        <v>20</v>
      </c>
      <c r="J96" s="927" t="s">
        <v>181</v>
      </c>
    </row>
    <row r="97" spans="1:19" ht="20.100000000000001" customHeight="1">
      <c r="A97" s="926" t="s">
        <v>143</v>
      </c>
      <c r="B97" s="924">
        <v>240</v>
      </c>
      <c r="C97" s="1467" t="s">
        <v>183</v>
      </c>
      <c r="D97" s="926" t="s">
        <v>136</v>
      </c>
      <c r="E97" s="928">
        <f>IF(B97=0,0,IF(I96&lt;=200,VLOOKUP(I96,บรรทุกสิบล้อ!$A$9:$C$208,3),(((I96-200)*บรรทุกสิบล้อ!$C$209)+บรรทุกสิบล้อ!$C$208)))</f>
        <v>63.44</v>
      </c>
      <c r="F97" s="927" t="s">
        <v>183</v>
      </c>
      <c r="G97" s="926" t="s">
        <v>911</v>
      </c>
      <c r="H97" s="926"/>
      <c r="I97" s="920">
        <f>IF(B97=0,0,B97+E97)</f>
        <v>303.44</v>
      </c>
      <c r="J97" s="927" t="s">
        <v>183</v>
      </c>
    </row>
    <row r="98" spans="1:19" ht="20.100000000000001" customHeight="1">
      <c r="A98" s="926" t="s">
        <v>144</v>
      </c>
      <c r="B98" s="924">
        <v>280</v>
      </c>
      <c r="C98" s="1467" t="s">
        <v>183</v>
      </c>
      <c r="D98" s="926" t="s">
        <v>136</v>
      </c>
      <c r="E98" s="928">
        <f>IF(B98=0,0,E97)</f>
        <v>63.44</v>
      </c>
      <c r="F98" s="927" t="s">
        <v>183</v>
      </c>
      <c r="G98" s="926" t="s">
        <v>911</v>
      </c>
      <c r="H98" s="926"/>
      <c r="I98" s="920">
        <f t="shared" ref="I98:I103" si="24">IF(B98=0,0,B98+E98)</f>
        <v>343.44</v>
      </c>
      <c r="J98" s="927" t="s">
        <v>183</v>
      </c>
    </row>
    <row r="99" spans="1:19" ht="20.100000000000001" customHeight="1">
      <c r="A99" s="926" t="s">
        <v>145</v>
      </c>
      <c r="B99" s="924">
        <v>360</v>
      </c>
      <c r="C99" s="1467" t="s">
        <v>183</v>
      </c>
      <c r="D99" s="926" t="s">
        <v>136</v>
      </c>
      <c r="E99" s="928">
        <f>IF(B99=0,0,E98)</f>
        <v>63.44</v>
      </c>
      <c r="F99" s="927" t="s">
        <v>183</v>
      </c>
      <c r="G99" s="926" t="s">
        <v>911</v>
      </c>
      <c r="H99" s="926"/>
      <c r="I99" s="920">
        <f t="shared" si="24"/>
        <v>423.44</v>
      </c>
      <c r="J99" s="927" t="s">
        <v>183</v>
      </c>
    </row>
    <row r="100" spans="1:19" ht="20.100000000000001" customHeight="1">
      <c r="A100" s="926" t="s">
        <v>146</v>
      </c>
      <c r="B100" s="924">
        <v>380</v>
      </c>
      <c r="C100" s="1467" t="s">
        <v>183</v>
      </c>
      <c r="D100" s="926" t="s">
        <v>136</v>
      </c>
      <c r="E100" s="928">
        <f>IF(B100=0,0,E99)</f>
        <v>63.44</v>
      </c>
      <c r="F100" s="927" t="s">
        <v>183</v>
      </c>
      <c r="G100" s="926" t="s">
        <v>911</v>
      </c>
      <c r="H100" s="926"/>
      <c r="I100" s="920">
        <f t="shared" si="24"/>
        <v>443.44</v>
      </c>
      <c r="J100" s="927" t="s">
        <v>183</v>
      </c>
    </row>
    <row r="101" spans="1:19" ht="20.100000000000001" customHeight="1">
      <c r="A101" s="926" t="s">
        <v>147</v>
      </c>
      <c r="B101" s="924">
        <v>350</v>
      </c>
      <c r="C101" s="1467" t="s">
        <v>183</v>
      </c>
      <c r="D101" s="926" t="s">
        <v>136</v>
      </c>
      <c r="E101" s="928">
        <f>IF(B101=0,0,E97)</f>
        <v>63.44</v>
      </c>
      <c r="F101" s="927" t="s">
        <v>183</v>
      </c>
      <c r="G101" s="926" t="s">
        <v>911</v>
      </c>
      <c r="H101" s="926"/>
      <c r="I101" s="920">
        <f t="shared" si="24"/>
        <v>413.44</v>
      </c>
      <c r="J101" s="927" t="s">
        <v>183</v>
      </c>
    </row>
    <row r="102" spans="1:19" ht="20.100000000000001" customHeight="1">
      <c r="A102" s="926" t="s">
        <v>148</v>
      </c>
      <c r="B102" s="924">
        <v>0</v>
      </c>
      <c r="C102" s="1467" t="s">
        <v>183</v>
      </c>
      <c r="D102" s="926" t="s">
        <v>136</v>
      </c>
      <c r="E102" s="928">
        <f>IF(B102=0,0,E101)</f>
        <v>0</v>
      </c>
      <c r="F102" s="927" t="s">
        <v>183</v>
      </c>
      <c r="G102" s="926" t="s">
        <v>911</v>
      </c>
      <c r="H102" s="926"/>
      <c r="I102" s="920">
        <f t="shared" si="24"/>
        <v>0</v>
      </c>
      <c r="J102" s="927" t="s">
        <v>183</v>
      </c>
    </row>
    <row r="103" spans="1:19" ht="20.100000000000001" customHeight="1">
      <c r="A103" s="926" t="s">
        <v>149</v>
      </c>
      <c r="B103" s="924">
        <v>350</v>
      </c>
      <c r="C103" s="1467" t="s">
        <v>183</v>
      </c>
      <c r="D103" s="926" t="s">
        <v>136</v>
      </c>
      <c r="E103" s="928">
        <f>IF(B103=0,0,E97)</f>
        <v>63.44</v>
      </c>
      <c r="F103" s="927" t="s">
        <v>183</v>
      </c>
      <c r="G103" s="926" t="s">
        <v>911</v>
      </c>
      <c r="H103" s="926"/>
      <c r="I103" s="920">
        <f t="shared" si="24"/>
        <v>413.44</v>
      </c>
      <c r="J103" s="927" t="s">
        <v>183</v>
      </c>
    </row>
    <row r="104" spans="1:19" ht="20.100000000000001" customHeight="1"/>
    <row r="105" spans="1:19" ht="20.100000000000001" customHeight="1">
      <c r="A105" s="900" t="s">
        <v>1974</v>
      </c>
      <c r="B105" s="901"/>
      <c r="C105" s="1460"/>
    </row>
    <row r="106" spans="1:19" ht="20.100000000000001" customHeight="1">
      <c r="A106" s="923" t="s">
        <v>1975</v>
      </c>
      <c r="B106" s="924"/>
      <c r="C106" s="1466"/>
      <c r="D106" s="924"/>
      <c r="E106" s="924"/>
      <c r="G106" s="925" t="s">
        <v>910</v>
      </c>
      <c r="H106" s="926"/>
      <c r="I106" s="924">
        <v>843</v>
      </c>
      <c r="J106" s="927" t="s">
        <v>181</v>
      </c>
    </row>
    <row r="107" spans="1:19" ht="20.100000000000001" customHeight="1">
      <c r="A107" s="920" t="s">
        <v>1233</v>
      </c>
      <c r="B107" s="920"/>
      <c r="G107" s="929"/>
      <c r="I107" s="897"/>
      <c r="J107" s="930"/>
      <c r="K107" s="895" t="s">
        <v>1233</v>
      </c>
    </row>
    <row r="108" spans="1:19" ht="20.100000000000001" customHeight="1">
      <c r="A108" s="926" t="s">
        <v>151</v>
      </c>
      <c r="B108" s="924">
        <v>16630</v>
      </c>
      <c r="C108" s="1467" t="s">
        <v>182</v>
      </c>
      <c r="D108" s="926" t="s">
        <v>136</v>
      </c>
      <c r="E108" s="928">
        <f>IF(B108=0,0,IF(I106&lt;=200,VLOOKUP(I106,'บรรทุกสิบล้อ+ลากพ่วง'!$A$9:$C$208,2),(((I106-200)*'บรรทุกสิบล้อ+ลากพ่วง'!$B$209)+'บรรทุกสิบล้อ+ลากพ่วง'!$B$208)))</f>
        <v>1138.7</v>
      </c>
      <c r="F108" s="926" t="s">
        <v>182</v>
      </c>
      <c r="G108" s="926" t="s">
        <v>911</v>
      </c>
      <c r="H108" s="926"/>
      <c r="I108" s="920">
        <f>IF(B108=0,0,B108+E108)</f>
        <v>17768.7</v>
      </c>
      <c r="J108" s="926" t="s">
        <v>182</v>
      </c>
      <c r="K108" s="895" t="s">
        <v>151</v>
      </c>
      <c r="L108" s="895">
        <f t="shared" ref="L108:L113" si="25">IF(B128&gt;0,I128,IF(B128=0,I108,MIN(I108,I128)))</f>
        <v>22327.010000000002</v>
      </c>
      <c r="M108" s="895" t="str">
        <f t="shared" ref="M108:M113" si="26">IF(L108=I108,"สำนักดัชนีเศรษฐกิจการค้า กรุงเทพมหานคร",IF(L108=I128,"สำนักดัชนีเศรษฐกิจการค้า จังหวัดพัทลุง",0))</f>
        <v>สำนักดัชนีเศรษฐกิจการค้า จังหวัดพัทลุง</v>
      </c>
      <c r="Q108" s="895">
        <f t="shared" ref="Q108:Q113" si="27">IF(L108=I108,B108,IF(L108=I128,B128,0))</f>
        <v>22299.4</v>
      </c>
      <c r="R108" s="895">
        <f t="shared" ref="R108:R113" si="28">IF(L108=I108,$I$106,IF(L108=I128,$I$126,0))</f>
        <v>20</v>
      </c>
      <c r="S108" s="895">
        <f t="shared" ref="S108:S113" si="29">IF(L108=I108,$E$108,IF(L108=I128,$E$128,0))</f>
        <v>27.61</v>
      </c>
    </row>
    <row r="109" spans="1:19" ht="20.100000000000001" customHeight="1">
      <c r="A109" s="926" t="s">
        <v>152</v>
      </c>
      <c r="B109" s="924">
        <v>15269.8</v>
      </c>
      <c r="C109" s="1467" t="s">
        <v>182</v>
      </c>
      <c r="D109" s="926" t="s">
        <v>136</v>
      </c>
      <c r="E109" s="928">
        <f>IF(B109=0,0,E108)</f>
        <v>1138.7</v>
      </c>
      <c r="F109" s="926" t="s">
        <v>182</v>
      </c>
      <c r="G109" s="926" t="s">
        <v>911</v>
      </c>
      <c r="H109" s="926"/>
      <c r="I109" s="920">
        <f t="shared" ref="I109:I124" si="30">IF(B109=0,0,B109+E109)</f>
        <v>16408.5</v>
      </c>
      <c r="J109" s="926" t="s">
        <v>182</v>
      </c>
      <c r="K109" s="895" t="s">
        <v>152</v>
      </c>
      <c r="L109" s="895">
        <f t="shared" si="25"/>
        <v>21354.38</v>
      </c>
      <c r="M109" s="895" t="str">
        <f t="shared" si="26"/>
        <v>สำนักดัชนีเศรษฐกิจการค้า จังหวัดพัทลุง</v>
      </c>
      <c r="Q109" s="895">
        <f t="shared" si="27"/>
        <v>21326.77</v>
      </c>
      <c r="R109" s="895">
        <f t="shared" si="28"/>
        <v>20</v>
      </c>
      <c r="S109" s="895">
        <f t="shared" si="29"/>
        <v>27.61</v>
      </c>
    </row>
    <row r="110" spans="1:19" ht="20.100000000000001" customHeight="1">
      <c r="A110" s="926" t="s">
        <v>153</v>
      </c>
      <c r="B110" s="924">
        <v>15650</v>
      </c>
      <c r="C110" s="1467" t="s">
        <v>182</v>
      </c>
      <c r="D110" s="926" t="s">
        <v>136</v>
      </c>
      <c r="E110" s="928">
        <f t="shared" ref="E110:E118" si="31">IF(B110=0,0,E109)</f>
        <v>1138.7</v>
      </c>
      <c r="F110" s="926" t="s">
        <v>182</v>
      </c>
      <c r="G110" s="926" t="s">
        <v>911</v>
      </c>
      <c r="H110" s="926"/>
      <c r="I110" s="920">
        <f t="shared" si="30"/>
        <v>16788.7</v>
      </c>
      <c r="J110" s="926" t="s">
        <v>182</v>
      </c>
      <c r="K110" s="895" t="s">
        <v>153</v>
      </c>
      <c r="L110" s="895">
        <f t="shared" si="25"/>
        <v>21166.3</v>
      </c>
      <c r="M110" s="895" t="str">
        <f t="shared" si="26"/>
        <v>สำนักดัชนีเศรษฐกิจการค้า จังหวัดพัทลุง</v>
      </c>
      <c r="Q110" s="895">
        <f t="shared" si="27"/>
        <v>21138.69</v>
      </c>
      <c r="R110" s="895">
        <f t="shared" si="28"/>
        <v>20</v>
      </c>
      <c r="S110" s="895">
        <f t="shared" si="29"/>
        <v>27.61</v>
      </c>
    </row>
    <row r="111" spans="1:19" ht="20.100000000000001" customHeight="1">
      <c r="A111" s="926" t="s">
        <v>154</v>
      </c>
      <c r="B111" s="924">
        <v>15425</v>
      </c>
      <c r="C111" s="1467" t="s">
        <v>182</v>
      </c>
      <c r="D111" s="926" t="s">
        <v>136</v>
      </c>
      <c r="E111" s="928">
        <f t="shared" si="31"/>
        <v>1138.7</v>
      </c>
      <c r="F111" s="926" t="s">
        <v>182</v>
      </c>
      <c r="G111" s="926" t="s">
        <v>911</v>
      </c>
      <c r="H111" s="926"/>
      <c r="I111" s="920">
        <f t="shared" si="30"/>
        <v>16563.7</v>
      </c>
      <c r="J111" s="926" t="s">
        <v>182</v>
      </c>
      <c r="K111" s="895" t="s">
        <v>154</v>
      </c>
      <c r="L111" s="895">
        <f t="shared" si="25"/>
        <v>21697.690000000002</v>
      </c>
      <c r="M111" s="895" t="str">
        <f t="shared" si="26"/>
        <v>สำนักดัชนีเศรษฐกิจการค้า จังหวัดพัทลุง</v>
      </c>
      <c r="Q111" s="895">
        <f t="shared" si="27"/>
        <v>21670.080000000002</v>
      </c>
      <c r="R111" s="895">
        <f t="shared" si="28"/>
        <v>20</v>
      </c>
      <c r="S111" s="895">
        <f t="shared" si="29"/>
        <v>27.61</v>
      </c>
    </row>
    <row r="112" spans="1:19" ht="20.100000000000001" customHeight="1">
      <c r="A112" s="926" t="s">
        <v>155</v>
      </c>
      <c r="B112" s="924">
        <v>15450</v>
      </c>
      <c r="C112" s="1467" t="s">
        <v>182</v>
      </c>
      <c r="D112" s="926" t="s">
        <v>136</v>
      </c>
      <c r="E112" s="928">
        <f t="shared" si="31"/>
        <v>1138.7</v>
      </c>
      <c r="F112" s="926" t="s">
        <v>182</v>
      </c>
      <c r="G112" s="926" t="s">
        <v>911</v>
      </c>
      <c r="H112" s="926"/>
      <c r="I112" s="920">
        <f t="shared" si="30"/>
        <v>16588.7</v>
      </c>
      <c r="J112" s="926" t="s">
        <v>182</v>
      </c>
      <c r="K112" s="895" t="s">
        <v>155</v>
      </c>
      <c r="L112" s="895">
        <f t="shared" si="25"/>
        <v>24525.97</v>
      </c>
      <c r="M112" s="895" t="str">
        <f t="shared" si="26"/>
        <v>สำนักดัชนีเศรษฐกิจการค้า จังหวัดพัทลุง</v>
      </c>
      <c r="Q112" s="895">
        <f t="shared" si="27"/>
        <v>24498.36</v>
      </c>
      <c r="R112" s="895">
        <f t="shared" si="28"/>
        <v>20</v>
      </c>
      <c r="S112" s="895">
        <f t="shared" si="29"/>
        <v>27.61</v>
      </c>
    </row>
    <row r="113" spans="1:19" ht="20.100000000000001" customHeight="1">
      <c r="A113" s="926" t="s">
        <v>156</v>
      </c>
      <c r="B113" s="924">
        <v>15450</v>
      </c>
      <c r="C113" s="1467" t="s">
        <v>182</v>
      </c>
      <c r="D113" s="926" t="s">
        <v>136</v>
      </c>
      <c r="E113" s="928">
        <f t="shared" si="31"/>
        <v>1138.7</v>
      </c>
      <c r="F113" s="926" t="s">
        <v>182</v>
      </c>
      <c r="G113" s="926" t="s">
        <v>911</v>
      </c>
      <c r="H113" s="926"/>
      <c r="I113" s="920">
        <f t="shared" si="30"/>
        <v>16588.7</v>
      </c>
      <c r="J113" s="926" t="s">
        <v>182</v>
      </c>
      <c r="K113" s="895" t="s">
        <v>156</v>
      </c>
      <c r="L113" s="895">
        <f t="shared" si="25"/>
        <v>23603.78</v>
      </c>
      <c r="M113" s="895" t="str">
        <f t="shared" si="26"/>
        <v>สำนักดัชนีเศรษฐกิจการค้า จังหวัดพัทลุง</v>
      </c>
      <c r="Q113" s="895">
        <f t="shared" si="27"/>
        <v>23576.17</v>
      </c>
      <c r="R113" s="895">
        <f t="shared" si="28"/>
        <v>20</v>
      </c>
      <c r="S113" s="895">
        <f t="shared" si="29"/>
        <v>27.61</v>
      </c>
    </row>
    <row r="114" spans="1:19" ht="20.100000000000001" customHeight="1">
      <c r="A114" s="920" t="s">
        <v>917</v>
      </c>
      <c r="B114" s="920"/>
      <c r="G114" s="929"/>
      <c r="I114" s="897"/>
      <c r="J114" s="930"/>
      <c r="K114" s="895" t="s">
        <v>917</v>
      </c>
    </row>
    <row r="115" spans="1:19" ht="20.100000000000001" customHeight="1">
      <c r="A115" s="926" t="s">
        <v>153</v>
      </c>
      <c r="B115" s="924">
        <v>14300</v>
      </c>
      <c r="C115" s="1467" t="s">
        <v>182</v>
      </c>
      <c r="D115" s="926" t="s">
        <v>136</v>
      </c>
      <c r="E115" s="928">
        <f>IF(B115=0,0,E113)</f>
        <v>1138.7</v>
      </c>
      <c r="F115" s="926" t="s">
        <v>182</v>
      </c>
      <c r="G115" s="926" t="s">
        <v>911</v>
      </c>
      <c r="H115" s="926"/>
      <c r="I115" s="920">
        <f t="shared" si="30"/>
        <v>15438.7</v>
      </c>
      <c r="J115" s="926" t="s">
        <v>182</v>
      </c>
      <c r="K115" s="895" t="s">
        <v>153</v>
      </c>
      <c r="L115" s="895">
        <f>IF(B135&gt;0,I135,IF(B135=0,I115,MIN(I115,I135)))</f>
        <v>20289.36</v>
      </c>
      <c r="M115" s="895" t="str">
        <f>IF(L115=I115,"สำนักดัชนีเศรษฐกิจการค้า กรุงเทพมหานคร",IF(L115=I135,"สำนักดัชนีเศรษฐกิจการค้า จังหวัดพัทลุง",0))</f>
        <v>สำนักดัชนีเศรษฐกิจการค้า จังหวัดพัทลุง</v>
      </c>
      <c r="Q115" s="895">
        <f>IF(L115=I115,B115,IF(L115=I135,B135,0))</f>
        <v>20261.75</v>
      </c>
      <c r="R115" s="895">
        <f>IF(L115=I115,$I$106,IF(L115=I135,$I$126,0))</f>
        <v>20</v>
      </c>
      <c r="S115" s="895">
        <f>IF(L115=I115,$E$108,IF(L115=I135,$E$128,0))</f>
        <v>27.61</v>
      </c>
    </row>
    <row r="116" spans="1:19" ht="20.100000000000001" customHeight="1">
      <c r="A116" s="926" t="s">
        <v>157</v>
      </c>
      <c r="B116" s="924">
        <v>14200</v>
      </c>
      <c r="C116" s="1467" t="s">
        <v>182</v>
      </c>
      <c r="D116" s="926" t="s">
        <v>136</v>
      </c>
      <c r="E116" s="928">
        <f t="shared" si="31"/>
        <v>1138.7</v>
      </c>
      <c r="F116" s="926" t="s">
        <v>182</v>
      </c>
      <c r="G116" s="926" t="s">
        <v>911</v>
      </c>
      <c r="H116" s="926"/>
      <c r="I116" s="920">
        <f t="shared" si="30"/>
        <v>15338.7</v>
      </c>
      <c r="J116" s="926" t="s">
        <v>182</v>
      </c>
      <c r="K116" s="895" t="s">
        <v>157</v>
      </c>
      <c r="L116" s="895">
        <f>IF(B136&gt;0,I136,IF(B136=0,I116,MIN(I116,I136)))</f>
        <v>20999.93</v>
      </c>
      <c r="M116" s="895" t="str">
        <f>IF(L116=I116,"สำนักดัชนีเศรษฐกิจการค้า กรุงเทพมหานคร",IF(L116=I136,"สำนักดัชนีเศรษฐกิจการค้า จังหวัดพัทลุง",0))</f>
        <v>สำนักดัชนีเศรษฐกิจการค้า จังหวัดพัทลุง</v>
      </c>
      <c r="Q116" s="895">
        <f>IF(L116=I116,B116,IF(L116=I136,B136,0))</f>
        <v>20972.32</v>
      </c>
      <c r="R116" s="895">
        <f>IF(L116=I116,$I$106,IF(L116=I136,$I$126,0))</f>
        <v>20</v>
      </c>
      <c r="S116" s="895">
        <f>IF(L116=I116,$E$108,IF(L116=I136,$E$128,0))</f>
        <v>27.61</v>
      </c>
    </row>
    <row r="117" spans="1:19" ht="20.100000000000001" customHeight="1">
      <c r="A117" s="926" t="s">
        <v>158</v>
      </c>
      <c r="B117" s="924">
        <v>14200</v>
      </c>
      <c r="C117" s="1467" t="s">
        <v>182</v>
      </c>
      <c r="D117" s="926" t="s">
        <v>136</v>
      </c>
      <c r="E117" s="928">
        <f t="shared" si="31"/>
        <v>1138.7</v>
      </c>
      <c r="F117" s="926" t="s">
        <v>182</v>
      </c>
      <c r="G117" s="926" t="s">
        <v>911</v>
      </c>
      <c r="H117" s="926"/>
      <c r="I117" s="920">
        <f t="shared" si="30"/>
        <v>15338.7</v>
      </c>
      <c r="J117" s="926" t="s">
        <v>182</v>
      </c>
      <c r="K117" s="895" t="s">
        <v>158</v>
      </c>
      <c r="L117" s="895">
        <f>IF(B137&gt;0,I137,IF(B137=0,I117,MIN(I117,I137)))</f>
        <v>20861.25</v>
      </c>
      <c r="M117" s="895" t="str">
        <f>IF(L117=I117,"สำนักดัชนีเศรษฐกิจการค้า กรุงเทพมหานคร",IF(L117=I137,"สำนักดัชนีเศรษฐกิจการค้า จังหวัดพัทลุง",0))</f>
        <v>สำนักดัชนีเศรษฐกิจการค้า จังหวัดพัทลุง</v>
      </c>
      <c r="Q117" s="895">
        <f>IF(L117=I117,B117,IF(L117=I137,B137,0))</f>
        <v>20833.64</v>
      </c>
      <c r="R117" s="895">
        <f>IF(L117=I117,$I$106,IF(L117=I137,$I$126,0))</f>
        <v>20</v>
      </c>
      <c r="S117" s="895">
        <f>IF(L117=I117,$E$108,IF(L117=I137,$E$128,0))</f>
        <v>27.61</v>
      </c>
    </row>
    <row r="118" spans="1:19" ht="20.100000000000001" customHeight="1">
      <c r="A118" s="926" t="s">
        <v>156</v>
      </c>
      <c r="B118" s="924">
        <v>14200</v>
      </c>
      <c r="C118" s="1467" t="s">
        <v>182</v>
      </c>
      <c r="D118" s="926" t="s">
        <v>136</v>
      </c>
      <c r="E118" s="928">
        <f t="shared" si="31"/>
        <v>1138.7</v>
      </c>
      <c r="F118" s="926" t="s">
        <v>182</v>
      </c>
      <c r="G118" s="926" t="s">
        <v>911</v>
      </c>
      <c r="H118" s="926"/>
      <c r="I118" s="920">
        <f t="shared" si="30"/>
        <v>15338.7</v>
      </c>
      <c r="J118" s="926" t="s">
        <v>182</v>
      </c>
      <c r="K118" s="895" t="s">
        <v>156</v>
      </c>
      <c r="L118" s="895">
        <f>IF(B138&gt;0,I138,IF(B138=0,I118,MIN(I118,I138)))</f>
        <v>20838.82</v>
      </c>
      <c r="M118" s="895" t="str">
        <f>IF(L118=I118,"สำนักดัชนีเศรษฐกิจการค้า กรุงเทพมหานคร",IF(L118=I138,"สำนักดัชนีเศรษฐกิจการค้า จังหวัดพัทลุง",0))</f>
        <v>สำนักดัชนีเศรษฐกิจการค้า จังหวัดพัทลุง</v>
      </c>
      <c r="Q118" s="895">
        <f>IF(L118=I118,B118,IF(L118=I138,B138,0))</f>
        <v>20811.21</v>
      </c>
      <c r="R118" s="895">
        <f>IF(L118=I118,$I$106,IF(L118=I138,$I$126,0))</f>
        <v>20</v>
      </c>
      <c r="S118" s="895">
        <f>IF(L118=I118,$E$108,IF(L118=I138,$E$128,0))</f>
        <v>27.61</v>
      </c>
    </row>
    <row r="119" spans="1:19" ht="20.100000000000001" customHeight="1">
      <c r="A119" s="920" t="s">
        <v>918</v>
      </c>
      <c r="B119" s="920"/>
      <c r="G119" s="929"/>
      <c r="I119" s="897"/>
      <c r="J119" s="930"/>
      <c r="K119" s="895" t="s">
        <v>918</v>
      </c>
    </row>
    <row r="120" spans="1:19" ht="20.100000000000001" customHeight="1">
      <c r="A120" s="926" t="s">
        <v>153</v>
      </c>
      <c r="B120" s="924">
        <v>14849.8</v>
      </c>
      <c r="C120" s="1467" t="s">
        <v>182</v>
      </c>
      <c r="D120" s="926" t="s">
        <v>136</v>
      </c>
      <c r="E120" s="928">
        <f>IF(B120=0,0,E118)</f>
        <v>1138.7</v>
      </c>
      <c r="F120" s="926" t="s">
        <v>182</v>
      </c>
      <c r="G120" s="926" t="s">
        <v>911</v>
      </c>
      <c r="H120" s="926"/>
      <c r="I120" s="920">
        <f t="shared" si="30"/>
        <v>15988.5</v>
      </c>
      <c r="J120" s="926" t="s">
        <v>182</v>
      </c>
      <c r="K120" s="895" t="s">
        <v>153</v>
      </c>
      <c r="L120" s="895">
        <f>IF(B140&gt;0,I140,IF(B140=0,I120,MIN(I120,I140)))</f>
        <v>15988.5</v>
      </c>
      <c r="M120" s="895" t="str">
        <f>IF(L120=I120,"สำนักดัชนีเศรษฐกิจการค้า กรุงเทพมหานคร",IF(L120=I140,"สำนักดัชนีเศรษฐกิจการค้า จังหวัดพัทลุง",0))</f>
        <v>สำนักดัชนีเศรษฐกิจการค้า กรุงเทพมหานคร</v>
      </c>
      <c r="Q120" s="895">
        <f>IF(L120=I120,B120,IF(L120=I140,B140,0))</f>
        <v>14849.8</v>
      </c>
      <c r="R120" s="895">
        <f>IF(L120=I120,$I$106,IF(L120=I140,$I$126,0))</f>
        <v>843</v>
      </c>
      <c r="S120" s="895">
        <f>IF(L120=I120,$E$108,IF(L120=I140,$E$128,0))</f>
        <v>1138.7</v>
      </c>
    </row>
    <row r="121" spans="1:19" ht="20.100000000000001" customHeight="1">
      <c r="A121" s="926" t="s">
        <v>157</v>
      </c>
      <c r="B121" s="924">
        <v>14649.8</v>
      </c>
      <c r="C121" s="1467" t="s">
        <v>182</v>
      </c>
      <c r="D121" s="926" t="s">
        <v>136</v>
      </c>
      <c r="E121" s="928">
        <f>IF(B121=0,0,E120)</f>
        <v>1138.7</v>
      </c>
      <c r="F121" s="926" t="s">
        <v>182</v>
      </c>
      <c r="G121" s="926" t="s">
        <v>911</v>
      </c>
      <c r="H121" s="926"/>
      <c r="I121" s="920">
        <f t="shared" si="30"/>
        <v>15788.5</v>
      </c>
      <c r="J121" s="926" t="s">
        <v>182</v>
      </c>
      <c r="K121" s="895" t="s">
        <v>157</v>
      </c>
      <c r="L121" s="895">
        <f>IF(B141&gt;0,I141,IF(B141=0,I121,MIN(I121,I141)))</f>
        <v>15788.5</v>
      </c>
      <c r="M121" s="895" t="str">
        <f>IF(L121=I121,"สำนักดัชนีเศรษฐกิจการค้า กรุงเทพมหานคร",IF(L121=I141,"สำนักดัชนีเศรษฐกิจการค้า จังหวัดพัทลุง",0))</f>
        <v>สำนักดัชนีเศรษฐกิจการค้า กรุงเทพมหานคร</v>
      </c>
      <c r="Q121" s="895">
        <f>IF(L121=I121,B121,IF(L121=I141,B141,0))</f>
        <v>14649.8</v>
      </c>
      <c r="R121" s="895">
        <f>IF(L121=I121,$I$106,IF(L121=I141,$I$126,0))</f>
        <v>843</v>
      </c>
      <c r="S121" s="895">
        <f>IF(L121=I121,$E$108,IF(L121=I141,$E$128,0))</f>
        <v>1138.7</v>
      </c>
    </row>
    <row r="122" spans="1:19" ht="20.100000000000001" customHeight="1">
      <c r="A122" s="926" t="s">
        <v>158</v>
      </c>
      <c r="B122" s="924">
        <v>14649.8</v>
      </c>
      <c r="C122" s="1467" t="s">
        <v>182</v>
      </c>
      <c r="D122" s="926" t="s">
        <v>136</v>
      </c>
      <c r="E122" s="928">
        <f>IF(B122=0,0,E121)</f>
        <v>1138.7</v>
      </c>
      <c r="F122" s="926" t="s">
        <v>182</v>
      </c>
      <c r="G122" s="926" t="s">
        <v>911</v>
      </c>
      <c r="H122" s="926"/>
      <c r="I122" s="920">
        <f t="shared" si="30"/>
        <v>15788.5</v>
      </c>
      <c r="J122" s="926" t="s">
        <v>182</v>
      </c>
      <c r="K122" s="895" t="s">
        <v>158</v>
      </c>
      <c r="L122" s="895">
        <f>IF(B142&gt;0,I142,IF(B142=0,I122,MIN(I122,I142)))</f>
        <v>15788.5</v>
      </c>
      <c r="M122" s="895" t="str">
        <f>IF(L122=I122,"สำนักดัชนีเศรษฐกิจการค้า กรุงเทพมหานคร",IF(L122=I142,"สำนักดัชนีเศรษฐกิจการค้า จังหวัดพัทลุง",0))</f>
        <v>สำนักดัชนีเศรษฐกิจการค้า กรุงเทพมหานคร</v>
      </c>
      <c r="Q122" s="895">
        <f>IF(L122=I122,B122,IF(L122=I142,B142,0))</f>
        <v>14649.8</v>
      </c>
      <c r="R122" s="895">
        <f>IF(L122=I122,$I$106,IF(L122=I142,$I$126,0))</f>
        <v>843</v>
      </c>
      <c r="S122" s="895">
        <f>IF(L122=I122,$E$108,IF(L122=I142,$E$128,0))</f>
        <v>1138.7</v>
      </c>
    </row>
    <row r="123" spans="1:19" ht="20.100000000000001" customHeight="1">
      <c r="A123" s="926" t="s">
        <v>156</v>
      </c>
      <c r="B123" s="924">
        <v>14649.8</v>
      </c>
      <c r="C123" s="1467" t="s">
        <v>182</v>
      </c>
      <c r="D123" s="926" t="s">
        <v>136</v>
      </c>
      <c r="E123" s="928">
        <f>IF(B123=0,0,E122)</f>
        <v>1138.7</v>
      </c>
      <c r="F123" s="926" t="s">
        <v>182</v>
      </c>
      <c r="G123" s="926" t="s">
        <v>911</v>
      </c>
      <c r="H123" s="926"/>
      <c r="I123" s="920">
        <f t="shared" si="30"/>
        <v>15788.5</v>
      </c>
      <c r="J123" s="926" t="s">
        <v>182</v>
      </c>
      <c r="K123" s="895" t="s">
        <v>156</v>
      </c>
      <c r="L123" s="895">
        <f>IF(B143&gt;0,I143,IF(B143=0,I123,MIN(I123,I143)))</f>
        <v>15788.5</v>
      </c>
      <c r="M123" s="895" t="str">
        <f>IF(L123=I123,"สำนักดัชนีเศรษฐกิจการค้า กรุงเทพมหานคร",IF(L123=I143,"สำนักดัชนีเศรษฐกิจการค้า จังหวัดพัทลุง",0))</f>
        <v>สำนักดัชนีเศรษฐกิจการค้า กรุงเทพมหานคร</v>
      </c>
      <c r="Q123" s="895">
        <f>IF(L123=I123,B123,IF(L123=I143,B143,0))</f>
        <v>14649.8</v>
      </c>
      <c r="R123" s="895">
        <f>IF(L123=I123,$I$106,IF(L123=I143,$I$126,0))</f>
        <v>843</v>
      </c>
      <c r="S123" s="895">
        <f>IF(L123=I123,$E$108,IF(L123=I143,$E$128,0))</f>
        <v>1138.7</v>
      </c>
    </row>
    <row r="124" spans="1:19" ht="20.100000000000001" customHeight="1">
      <c r="A124" s="926" t="s">
        <v>160</v>
      </c>
      <c r="B124" s="924">
        <v>14649.8</v>
      </c>
      <c r="C124" s="1467" t="s">
        <v>182</v>
      </c>
      <c r="D124" s="926" t="s">
        <v>136</v>
      </c>
      <c r="E124" s="928">
        <f>IF(B124=0,0,E123)</f>
        <v>1138.7</v>
      </c>
      <c r="F124" s="926" t="s">
        <v>182</v>
      </c>
      <c r="G124" s="926" t="s">
        <v>911</v>
      </c>
      <c r="H124" s="926"/>
      <c r="I124" s="920">
        <f t="shared" si="30"/>
        <v>15788.5</v>
      </c>
      <c r="J124" s="926" t="s">
        <v>182</v>
      </c>
      <c r="K124" s="895" t="s">
        <v>160</v>
      </c>
      <c r="L124" s="895">
        <f>IF(B144&gt;0,I144,IF(B144=0,I124,MIN(I124,I144)))</f>
        <v>15788.5</v>
      </c>
      <c r="M124" s="895" t="str">
        <f>IF(L124=I124,"สำนักดัชนีเศรษฐกิจการค้า กรุงเทพมหานคร",IF(L124=I144,"สำนักดัชนีเศรษฐกิจการค้า จังหวัดพัทลุง",0))</f>
        <v>สำนักดัชนีเศรษฐกิจการค้า กรุงเทพมหานคร</v>
      </c>
      <c r="Q124" s="895">
        <f>IF(L124=I124,B124,IF(L124=I144,B144,0))</f>
        <v>14649.8</v>
      </c>
      <c r="R124" s="895">
        <f>IF(L124=I124,$I$106,IF(L124=I144,$I$126,0))</f>
        <v>843</v>
      </c>
      <c r="S124" s="895">
        <f>IF(L124=I124,$E$108,IF(L124=I144,$E$128,0))</f>
        <v>1138.7</v>
      </c>
    </row>
    <row r="125" spans="1:19" ht="20.100000000000001" customHeight="1">
      <c r="A125" s="897"/>
      <c r="B125" s="897"/>
      <c r="C125" s="1457"/>
      <c r="D125" s="897"/>
      <c r="E125" s="931"/>
      <c r="F125" s="897"/>
      <c r="G125" s="897"/>
      <c r="H125" s="897"/>
      <c r="I125" s="897"/>
      <c r="J125" s="897"/>
    </row>
    <row r="126" spans="1:19" ht="20.100000000000001" customHeight="1">
      <c r="A126" s="923" t="s">
        <v>1976</v>
      </c>
      <c r="B126" s="924"/>
      <c r="C126" s="1466"/>
      <c r="D126" s="924"/>
      <c r="E126" s="924"/>
      <c r="G126" s="925" t="s">
        <v>910</v>
      </c>
      <c r="H126" s="926"/>
      <c r="I126" s="924">
        <f>G11</f>
        <v>20</v>
      </c>
      <c r="J126" s="927" t="s">
        <v>181</v>
      </c>
    </row>
    <row r="127" spans="1:19" ht="20.100000000000001" customHeight="1">
      <c r="A127" s="920" t="s">
        <v>1233</v>
      </c>
      <c r="B127" s="920"/>
      <c r="G127" s="929"/>
      <c r="I127" s="897"/>
      <c r="J127" s="930"/>
    </row>
    <row r="128" spans="1:19" ht="20.100000000000001" customHeight="1">
      <c r="A128" s="926" t="s">
        <v>151</v>
      </c>
      <c r="B128" s="924">
        <v>22299.4</v>
      </c>
      <c r="C128" s="1467" t="s">
        <v>182</v>
      </c>
      <c r="D128" s="926" t="s">
        <v>136</v>
      </c>
      <c r="E128" s="928">
        <f>IF(B128=0,0,IF(I126&lt;=200,VLOOKUP(I126,'บรรทุกสิบล้อ+ลากพ่วง'!$A$9:$C$208,2),(((I126-200)*'บรรทุกสิบล้อ+ลากพ่วง'!$B$209)+'บรรทุกสิบล้อ+ลากพ่วง'!$B$208)))</f>
        <v>27.61</v>
      </c>
      <c r="F128" s="926" t="s">
        <v>182</v>
      </c>
      <c r="G128" s="926" t="s">
        <v>911</v>
      </c>
      <c r="H128" s="926"/>
      <c r="I128" s="920">
        <f t="shared" ref="I128:I133" si="32">IF(B128=0,0,B128+E128)</f>
        <v>22327.010000000002</v>
      </c>
      <c r="J128" s="926" t="s">
        <v>182</v>
      </c>
    </row>
    <row r="129" spans="1:10" ht="20.100000000000001" customHeight="1">
      <c r="A129" s="926" t="s">
        <v>152</v>
      </c>
      <c r="B129" s="924">
        <v>21326.77</v>
      </c>
      <c r="C129" s="1467" t="s">
        <v>182</v>
      </c>
      <c r="D129" s="926" t="s">
        <v>136</v>
      </c>
      <c r="E129" s="928">
        <f>IF(B129=0,0,E128)</f>
        <v>27.61</v>
      </c>
      <c r="F129" s="926" t="s">
        <v>182</v>
      </c>
      <c r="G129" s="926" t="s">
        <v>911</v>
      </c>
      <c r="H129" s="926"/>
      <c r="I129" s="920">
        <f t="shared" si="32"/>
        <v>21354.38</v>
      </c>
      <c r="J129" s="926" t="s">
        <v>182</v>
      </c>
    </row>
    <row r="130" spans="1:10" ht="20.100000000000001" customHeight="1">
      <c r="A130" s="926" t="s">
        <v>153</v>
      </c>
      <c r="B130" s="924">
        <v>21138.69</v>
      </c>
      <c r="C130" s="1467" t="s">
        <v>182</v>
      </c>
      <c r="D130" s="926" t="s">
        <v>136</v>
      </c>
      <c r="E130" s="928">
        <f>IF(B130=0,0,E129)</f>
        <v>27.61</v>
      </c>
      <c r="F130" s="926" t="s">
        <v>182</v>
      </c>
      <c r="G130" s="926" t="s">
        <v>911</v>
      </c>
      <c r="H130" s="926"/>
      <c r="I130" s="920">
        <f t="shared" si="32"/>
        <v>21166.3</v>
      </c>
      <c r="J130" s="926" t="s">
        <v>182</v>
      </c>
    </row>
    <row r="131" spans="1:10" ht="20.100000000000001" customHeight="1">
      <c r="A131" s="926" t="s">
        <v>154</v>
      </c>
      <c r="B131" s="924">
        <v>21670.080000000002</v>
      </c>
      <c r="C131" s="1467" t="s">
        <v>182</v>
      </c>
      <c r="D131" s="926" t="s">
        <v>136</v>
      </c>
      <c r="E131" s="928">
        <f>IF(B131=0,0,E130)</f>
        <v>27.61</v>
      </c>
      <c r="F131" s="926" t="s">
        <v>182</v>
      </c>
      <c r="G131" s="926" t="s">
        <v>911</v>
      </c>
      <c r="H131" s="926"/>
      <c r="I131" s="920">
        <f t="shared" si="32"/>
        <v>21697.690000000002</v>
      </c>
      <c r="J131" s="926" t="s">
        <v>182</v>
      </c>
    </row>
    <row r="132" spans="1:10" ht="20.100000000000001" customHeight="1">
      <c r="A132" s="926" t="s">
        <v>155</v>
      </c>
      <c r="B132" s="924">
        <v>24498.36</v>
      </c>
      <c r="C132" s="1467" t="s">
        <v>182</v>
      </c>
      <c r="D132" s="926" t="s">
        <v>136</v>
      </c>
      <c r="E132" s="928">
        <f>IF(B132=0,0,E131)</f>
        <v>27.61</v>
      </c>
      <c r="F132" s="926" t="s">
        <v>182</v>
      </c>
      <c r="G132" s="926" t="s">
        <v>911</v>
      </c>
      <c r="H132" s="926"/>
      <c r="I132" s="920">
        <f t="shared" si="32"/>
        <v>24525.97</v>
      </c>
      <c r="J132" s="926" t="s">
        <v>182</v>
      </c>
    </row>
    <row r="133" spans="1:10" ht="20.100000000000001" customHeight="1">
      <c r="A133" s="926" t="s">
        <v>156</v>
      </c>
      <c r="B133" s="924">
        <v>23576.17</v>
      </c>
      <c r="C133" s="1467" t="s">
        <v>182</v>
      </c>
      <c r="D133" s="926" t="s">
        <v>136</v>
      </c>
      <c r="E133" s="928">
        <f>IF(B133=0,0,E132)</f>
        <v>27.61</v>
      </c>
      <c r="F133" s="926" t="s">
        <v>182</v>
      </c>
      <c r="G133" s="926" t="s">
        <v>911</v>
      </c>
      <c r="H133" s="926"/>
      <c r="I133" s="920">
        <f t="shared" si="32"/>
        <v>23603.78</v>
      </c>
      <c r="J133" s="926" t="s">
        <v>182</v>
      </c>
    </row>
    <row r="134" spans="1:10" ht="20.100000000000001" customHeight="1">
      <c r="A134" s="920" t="s">
        <v>917</v>
      </c>
      <c r="B134" s="920"/>
      <c r="G134" s="929"/>
      <c r="I134" s="897"/>
      <c r="J134" s="930"/>
    </row>
    <row r="135" spans="1:10" ht="20.100000000000001" customHeight="1">
      <c r="A135" s="926" t="s">
        <v>153</v>
      </c>
      <c r="B135" s="924">
        <v>20261.75</v>
      </c>
      <c r="C135" s="1467" t="s">
        <v>182</v>
      </c>
      <c r="D135" s="926" t="s">
        <v>136</v>
      </c>
      <c r="E135" s="928">
        <f>IF(B135=0,0,E133)</f>
        <v>27.61</v>
      </c>
      <c r="F135" s="926" t="s">
        <v>182</v>
      </c>
      <c r="G135" s="926" t="s">
        <v>911</v>
      </c>
      <c r="H135" s="926"/>
      <c r="I135" s="920">
        <f>IF(B135=0,0,B135+E135)</f>
        <v>20289.36</v>
      </c>
      <c r="J135" s="926" t="s">
        <v>182</v>
      </c>
    </row>
    <row r="136" spans="1:10" ht="20.100000000000001" customHeight="1">
      <c r="A136" s="926" t="s">
        <v>157</v>
      </c>
      <c r="B136" s="924">
        <v>20972.32</v>
      </c>
      <c r="C136" s="1467" t="s">
        <v>182</v>
      </c>
      <c r="D136" s="926" t="s">
        <v>136</v>
      </c>
      <c r="E136" s="928">
        <f>IF(B136=0,0,E135)</f>
        <v>27.61</v>
      </c>
      <c r="F136" s="926" t="s">
        <v>182</v>
      </c>
      <c r="G136" s="926" t="s">
        <v>911</v>
      </c>
      <c r="H136" s="926"/>
      <c r="I136" s="920">
        <f>IF(B136=0,0,B136+E136)</f>
        <v>20999.93</v>
      </c>
      <c r="J136" s="926" t="s">
        <v>182</v>
      </c>
    </row>
    <row r="137" spans="1:10" ht="20.100000000000001" customHeight="1">
      <c r="A137" s="926" t="s">
        <v>158</v>
      </c>
      <c r="B137" s="924">
        <v>20833.64</v>
      </c>
      <c r="C137" s="1467" t="s">
        <v>182</v>
      </c>
      <c r="D137" s="926" t="s">
        <v>136</v>
      </c>
      <c r="E137" s="928">
        <f>IF(B137=0,0,E136)</f>
        <v>27.61</v>
      </c>
      <c r="F137" s="926" t="s">
        <v>182</v>
      </c>
      <c r="G137" s="926" t="s">
        <v>911</v>
      </c>
      <c r="H137" s="926"/>
      <c r="I137" s="920">
        <f>IF(B137=0,0,B137+E137)</f>
        <v>20861.25</v>
      </c>
      <c r="J137" s="926" t="s">
        <v>182</v>
      </c>
    </row>
    <row r="138" spans="1:10" ht="20.100000000000001" customHeight="1">
      <c r="A138" s="926" t="s">
        <v>156</v>
      </c>
      <c r="B138" s="924">
        <v>20811.21</v>
      </c>
      <c r="C138" s="1467" t="s">
        <v>182</v>
      </c>
      <c r="D138" s="926" t="s">
        <v>136</v>
      </c>
      <c r="E138" s="928">
        <f>IF(B138=0,0,E137)</f>
        <v>27.61</v>
      </c>
      <c r="F138" s="926" t="s">
        <v>182</v>
      </c>
      <c r="G138" s="926" t="s">
        <v>911</v>
      </c>
      <c r="H138" s="926"/>
      <c r="I138" s="920">
        <f>IF(B138=0,0,B138+E138)</f>
        <v>20838.82</v>
      </c>
      <c r="J138" s="926" t="s">
        <v>182</v>
      </c>
    </row>
    <row r="139" spans="1:10" ht="20.100000000000001" customHeight="1">
      <c r="A139" s="920" t="s">
        <v>918</v>
      </c>
      <c r="B139" s="920"/>
      <c r="G139" s="929"/>
      <c r="I139" s="897"/>
      <c r="J139" s="930"/>
    </row>
    <row r="140" spans="1:10" ht="20.100000000000001" customHeight="1">
      <c r="A140" s="926" t="s">
        <v>153</v>
      </c>
      <c r="B140" s="924">
        <v>0</v>
      </c>
      <c r="C140" s="1467" t="s">
        <v>182</v>
      </c>
      <c r="D140" s="926" t="s">
        <v>136</v>
      </c>
      <c r="E140" s="928">
        <f>IF(B140=0,0,E138)</f>
        <v>0</v>
      </c>
      <c r="F140" s="926" t="s">
        <v>182</v>
      </c>
      <c r="G140" s="926" t="s">
        <v>911</v>
      </c>
      <c r="H140" s="926"/>
      <c r="I140" s="920">
        <f>IF(B140=0,0,B140+E140)</f>
        <v>0</v>
      </c>
      <c r="J140" s="926" t="s">
        <v>182</v>
      </c>
    </row>
    <row r="141" spans="1:10" ht="20.100000000000001" customHeight="1">
      <c r="A141" s="926" t="s">
        <v>157</v>
      </c>
      <c r="B141" s="924">
        <v>0</v>
      </c>
      <c r="C141" s="1467" t="s">
        <v>182</v>
      </c>
      <c r="D141" s="926" t="s">
        <v>136</v>
      </c>
      <c r="E141" s="928">
        <f>IF(B141=0,0,E140)</f>
        <v>0</v>
      </c>
      <c r="F141" s="926" t="s">
        <v>182</v>
      </c>
      <c r="G141" s="926" t="s">
        <v>911</v>
      </c>
      <c r="H141" s="926"/>
      <c r="I141" s="920">
        <f>IF(B141=0,0,B141+E141)</f>
        <v>0</v>
      </c>
      <c r="J141" s="926" t="s">
        <v>182</v>
      </c>
    </row>
    <row r="142" spans="1:10" ht="20.100000000000001" customHeight="1">
      <c r="A142" s="926" t="s">
        <v>158</v>
      </c>
      <c r="B142" s="924">
        <v>0</v>
      </c>
      <c r="C142" s="1467" t="s">
        <v>182</v>
      </c>
      <c r="D142" s="926" t="s">
        <v>136</v>
      </c>
      <c r="E142" s="928">
        <f>IF(B142=0,0,E141)</f>
        <v>0</v>
      </c>
      <c r="F142" s="926" t="s">
        <v>182</v>
      </c>
      <c r="G142" s="926" t="s">
        <v>911</v>
      </c>
      <c r="H142" s="926"/>
      <c r="I142" s="920">
        <f>IF(B142=0,0,B142+E142)</f>
        <v>0</v>
      </c>
      <c r="J142" s="926" t="s">
        <v>182</v>
      </c>
    </row>
    <row r="143" spans="1:10" ht="20.100000000000001" customHeight="1">
      <c r="A143" s="926" t="s">
        <v>156</v>
      </c>
      <c r="B143" s="924">
        <v>0</v>
      </c>
      <c r="C143" s="1467" t="s">
        <v>182</v>
      </c>
      <c r="D143" s="926" t="s">
        <v>136</v>
      </c>
      <c r="E143" s="928">
        <f>IF(B143=0,0,E142)</f>
        <v>0</v>
      </c>
      <c r="F143" s="926" t="s">
        <v>182</v>
      </c>
      <c r="G143" s="926" t="s">
        <v>911</v>
      </c>
      <c r="H143" s="926"/>
      <c r="I143" s="920">
        <f>IF(B143=0,0,B143+E143)</f>
        <v>0</v>
      </c>
      <c r="J143" s="926" t="s">
        <v>182</v>
      </c>
    </row>
    <row r="144" spans="1:10" ht="20.100000000000001" customHeight="1">
      <c r="A144" s="926" t="s">
        <v>160</v>
      </c>
      <c r="B144" s="924">
        <v>0</v>
      </c>
      <c r="C144" s="1467" t="s">
        <v>182</v>
      </c>
      <c r="D144" s="926" t="s">
        <v>136</v>
      </c>
      <c r="E144" s="928">
        <f>IF(B144=0,0,E143)</f>
        <v>0</v>
      </c>
      <c r="F144" s="926" t="s">
        <v>182</v>
      </c>
      <c r="G144" s="926" t="s">
        <v>911</v>
      </c>
      <c r="H144" s="926"/>
      <c r="I144" s="920">
        <f>IF(B144=0,0,B144+E144)</f>
        <v>0</v>
      </c>
      <c r="J144" s="926" t="s">
        <v>182</v>
      </c>
    </row>
    <row r="145" spans="1:19" ht="20.100000000000001" customHeight="1">
      <c r="B145" s="897"/>
      <c r="E145" s="897"/>
      <c r="I145" s="897"/>
    </row>
    <row r="146" spans="1:19" ht="20.100000000000001" customHeight="1">
      <c r="A146" s="900" t="s">
        <v>1977</v>
      </c>
      <c r="B146" s="901"/>
      <c r="C146" s="1460"/>
    </row>
    <row r="147" spans="1:19" ht="20.100000000000001" customHeight="1">
      <c r="A147" s="923" t="s">
        <v>1978</v>
      </c>
      <c r="B147" s="924"/>
      <c r="C147" s="1466"/>
      <c r="D147" s="924"/>
      <c r="E147" s="924"/>
      <c r="G147" s="925" t="s">
        <v>910</v>
      </c>
      <c r="H147" s="926"/>
      <c r="I147" s="924">
        <f>I106</f>
        <v>843</v>
      </c>
      <c r="J147" s="927" t="s">
        <v>181</v>
      </c>
    </row>
    <row r="148" spans="1:19" ht="20.100000000000001" customHeight="1">
      <c r="A148" s="926" t="s">
        <v>1245</v>
      </c>
      <c r="B148" s="926"/>
      <c r="G148" s="929"/>
      <c r="I148" s="897"/>
      <c r="J148" s="930"/>
      <c r="K148" s="895" t="s">
        <v>1245</v>
      </c>
    </row>
    <row r="149" spans="1:19" ht="20.100000000000001" customHeight="1">
      <c r="A149" s="926" t="s">
        <v>1246</v>
      </c>
      <c r="B149" s="924">
        <f>(0.98/1000)*25</f>
        <v>2.4500000000000001E-2</v>
      </c>
      <c r="C149" s="1467" t="s">
        <v>182</v>
      </c>
      <c r="D149" s="926" t="s">
        <v>136</v>
      </c>
      <c r="E149" s="928">
        <f>IF(B149=0,0,IF(I147&lt;=200,VLOOKUP(I147,'บรรทุกสิบล้อ+ลากพ่วง'!$A$9:$C$208,2),(((I147-200)*'บรรทุกสิบล้อ+ลากพ่วง'!$B$209)+'บรรทุกสิบล้อ+ลากพ่วง'!$B$208)))</f>
        <v>1138.7</v>
      </c>
      <c r="F149" s="926" t="s">
        <v>182</v>
      </c>
      <c r="G149" s="926" t="s">
        <v>911</v>
      </c>
      <c r="H149" s="926"/>
      <c r="I149" s="920">
        <f>IF(B149=0,0,B149+E149)</f>
        <v>1138.7245</v>
      </c>
      <c r="J149" s="926" t="s">
        <v>182</v>
      </c>
      <c r="K149" s="895" t="s">
        <v>1246</v>
      </c>
      <c r="L149" s="895">
        <f>IF(B149=0,I156,IF(B156=0,I149,MIN(I149,I156)))</f>
        <v>27.632539999999999</v>
      </c>
      <c r="M149" s="895" t="str">
        <f>IF(L149=I149,"สำนักดัชนีเศรษฐกิจการค้า กรุงเทพมหานคร",IF(L149=I156,"ห้างหุ้นส่วนจำกัด มังกรทองวัสดุก่อสร้าง",0))</f>
        <v>ห้างหุ้นส่วนจำกัด มังกรทองวัสดุก่อสร้าง</v>
      </c>
      <c r="Q149" s="895">
        <f>IF(L149=I149,B149,IF(L149=I156,B156,0))</f>
        <v>2.2539999999999998E-2</v>
      </c>
      <c r="R149" s="895">
        <f>IF(L149=I149,$I$147,IF(L149=I156,$I$154,0))</f>
        <v>20</v>
      </c>
      <c r="S149" s="895">
        <f>IF(L149=I149,$E$149,IF(L149=I156,$E$156,0))</f>
        <v>27.61</v>
      </c>
    </row>
    <row r="150" spans="1:19" ht="20.100000000000001" customHeight="1">
      <c r="A150" s="926" t="s">
        <v>1247</v>
      </c>
      <c r="B150" s="924">
        <f>(1.372/1000)*33</f>
        <v>4.5276000000000004E-2</v>
      </c>
      <c r="C150" s="1467" t="s">
        <v>182</v>
      </c>
      <c r="D150" s="926" t="s">
        <v>136</v>
      </c>
      <c r="E150" s="928">
        <f>IF(B150=0,0,E149)</f>
        <v>1138.7</v>
      </c>
      <c r="F150" s="926" t="s">
        <v>182</v>
      </c>
      <c r="G150" s="926" t="s">
        <v>911</v>
      </c>
      <c r="H150" s="926"/>
      <c r="I150" s="920">
        <f>IF(B150=0,0,B150+E150)</f>
        <v>1138.7452760000001</v>
      </c>
      <c r="J150" s="926" t="s">
        <v>182</v>
      </c>
      <c r="K150" s="895" t="s">
        <v>1247</v>
      </c>
      <c r="L150" s="895">
        <f>IF(B150=0,I157,IF(B157=0,I150,MIN(I150,I157)))</f>
        <v>1138.7452760000001</v>
      </c>
      <c r="M150" s="895" t="str">
        <f>IF(L150=I150,"สำนักดัชนีเศรษฐกิจการค้า กรุงเทพมหานคร",IF(L150=I157,"ห้างหุ้นส่วนจำกัด มังกรทองวัสดุก่อสร้าง",0))</f>
        <v>สำนักดัชนีเศรษฐกิจการค้า กรุงเทพมหานคร</v>
      </c>
      <c r="Q150" s="895">
        <f>IF(L150=I150,B150,IF(L150=I157,B157,0))</f>
        <v>4.5276000000000004E-2</v>
      </c>
      <c r="R150" s="895">
        <f>IF(L150=I150,$I$147,IF(L150=I157,$I$154,0))</f>
        <v>843</v>
      </c>
      <c r="S150" s="895">
        <f>IF(L150=I150,$E$149,IF(L150=I157,$E$156,0))</f>
        <v>1138.7</v>
      </c>
    </row>
    <row r="151" spans="1:19" ht="20.100000000000001" customHeight="1">
      <c r="A151" s="926" t="s">
        <v>1248</v>
      </c>
      <c r="B151" s="926"/>
      <c r="G151" s="929"/>
      <c r="I151" s="897"/>
      <c r="J151" s="930"/>
      <c r="K151" s="895" t="s">
        <v>1248</v>
      </c>
    </row>
    <row r="152" spans="1:19" ht="20.100000000000001" customHeight="1">
      <c r="A152" s="926" t="s">
        <v>1246</v>
      </c>
      <c r="B152" s="924">
        <f>(2.22/1000)*55</f>
        <v>0.12210000000000001</v>
      </c>
      <c r="C152" s="1467" t="s">
        <v>182</v>
      </c>
      <c r="D152" s="926" t="s">
        <v>136</v>
      </c>
      <c r="E152" s="928">
        <f>IF(B152=0,0,E150)</f>
        <v>1138.7</v>
      </c>
      <c r="F152" s="926" t="s">
        <v>182</v>
      </c>
      <c r="G152" s="926" t="s">
        <v>911</v>
      </c>
      <c r="H152" s="926"/>
      <c r="I152" s="920">
        <f>IF(B152=0,0,B152+E152)</f>
        <v>1138.8221000000001</v>
      </c>
      <c r="J152" s="926" t="s">
        <v>182</v>
      </c>
      <c r="K152" s="895" t="s">
        <v>1246</v>
      </c>
      <c r="L152" s="895">
        <f>IF(B152=0,I159,IF(B159=0,I152,MIN(I152,I159)))</f>
        <v>1138.8221000000001</v>
      </c>
      <c r="M152" s="895" t="str">
        <f>IF(L152=I152,"สำนักดัชนีเศรษฐกิจการค้า กรุงเทพมหานคร",IF(L152=I159,"ห้างหุ้นส่วนจำกัด มังกรทองวัสดุก่อสร้าง",0))</f>
        <v>สำนักดัชนีเศรษฐกิจการค้า กรุงเทพมหานคร</v>
      </c>
      <c r="Q152" s="895">
        <f>IF(L152=I152,B152,IF(L152=I159,B159,0))</f>
        <v>0.12210000000000001</v>
      </c>
      <c r="R152" s="895">
        <f>IF(L152=I152,$I$147,IF(L152=I159,$I$154,0))</f>
        <v>843</v>
      </c>
      <c r="S152" s="895">
        <f>IF(L152=I152,$E$149,IF(L152=I159,$E$156,0))</f>
        <v>1138.7</v>
      </c>
    </row>
    <row r="153" spans="1:19" ht="20.100000000000001" customHeight="1">
      <c r="A153" s="926" t="s">
        <v>1247</v>
      </c>
      <c r="B153" s="924">
        <f>(3.108/1000)*74</f>
        <v>0.229992</v>
      </c>
      <c r="C153" s="1467" t="s">
        <v>182</v>
      </c>
      <c r="D153" s="926" t="s">
        <v>136</v>
      </c>
      <c r="E153" s="928">
        <f>IF(B153=0,0,E152)</f>
        <v>1138.7</v>
      </c>
      <c r="F153" s="926" t="s">
        <v>182</v>
      </c>
      <c r="G153" s="926" t="s">
        <v>911</v>
      </c>
      <c r="H153" s="926"/>
      <c r="I153" s="920">
        <f>IF(B153=0,0,B153+E153)</f>
        <v>1138.9299920000001</v>
      </c>
      <c r="J153" s="926" t="s">
        <v>182</v>
      </c>
      <c r="K153" s="895" t="s">
        <v>1247</v>
      </c>
      <c r="L153" s="895">
        <f>IF(B153=0,I160,IF(B160=0,I153,MIN(I153,I160)))</f>
        <v>1138.9299920000001</v>
      </c>
      <c r="M153" s="895" t="str">
        <f>IF(L153=I153,"สำนักดัชนีเศรษฐกิจการค้า กรุงเทพมหานคร",IF(L153=I160,"ห้างหุ้นส่วนจำกัด มังกรทองวัสดุก่อสร้าง",0))</f>
        <v>สำนักดัชนีเศรษฐกิจการค้า กรุงเทพมหานคร</v>
      </c>
      <c r="Q153" s="895">
        <f>IF(L153=I153,B153,IF(L153=I160,B160,0))</f>
        <v>0.229992</v>
      </c>
      <c r="R153" s="895">
        <f>IF(L153=I153,$I$147,IF(L153=I160,$I$154,0))</f>
        <v>843</v>
      </c>
      <c r="S153" s="895">
        <f>IF(L153=I153,$E$149,IF(L153=I160,$E$156,0))</f>
        <v>1138.7</v>
      </c>
    </row>
    <row r="154" spans="1:19" ht="20.100000000000001" customHeight="1">
      <c r="A154" s="923" t="s">
        <v>1979</v>
      </c>
      <c r="B154" s="924"/>
      <c r="C154" s="1466"/>
      <c r="D154" s="924"/>
      <c r="E154" s="924"/>
      <c r="G154" s="929" t="s">
        <v>910</v>
      </c>
      <c r="I154" s="924">
        <v>20</v>
      </c>
      <c r="J154" s="930" t="s">
        <v>181</v>
      </c>
    </row>
    <row r="155" spans="1:19" ht="20.100000000000001" customHeight="1">
      <c r="A155" s="926" t="s">
        <v>1245</v>
      </c>
      <c r="B155" s="926"/>
      <c r="G155" s="929"/>
      <c r="I155" s="897"/>
      <c r="J155" s="930"/>
    </row>
    <row r="156" spans="1:19" ht="20.100000000000001" customHeight="1">
      <c r="A156" s="926" t="s">
        <v>1246</v>
      </c>
      <c r="B156" s="924">
        <f>(0.98/1000)*23</f>
        <v>2.2539999999999998E-2</v>
      </c>
      <c r="C156" s="1467" t="s">
        <v>182</v>
      </c>
      <c r="D156" s="926" t="s">
        <v>136</v>
      </c>
      <c r="E156" s="928">
        <f>IF(B156=0,0,IF(I154&lt;=200,VLOOKUP(I154,'บรรทุกสิบล้อ+ลากพ่วง'!$A$9:$C$208,2),(((I154-200)*'บรรทุกสิบล้อ+ลากพ่วง'!$B$209)+'บรรทุกสิบล้อ+ลากพ่วง'!$B$208)))</f>
        <v>27.61</v>
      </c>
      <c r="F156" s="926" t="s">
        <v>182</v>
      </c>
      <c r="G156" s="926" t="s">
        <v>911</v>
      </c>
      <c r="H156" s="926"/>
      <c r="I156" s="920">
        <f>IF(B156=0,0,B156+E156)</f>
        <v>27.632539999999999</v>
      </c>
      <c r="J156" s="926" t="s">
        <v>182</v>
      </c>
    </row>
    <row r="157" spans="1:19" ht="20.100000000000001" customHeight="1">
      <c r="A157" s="926" t="s">
        <v>1247</v>
      </c>
      <c r="B157" s="924">
        <v>0</v>
      </c>
      <c r="C157" s="1467" t="s">
        <v>182</v>
      </c>
      <c r="D157" s="926" t="s">
        <v>136</v>
      </c>
      <c r="E157" s="928">
        <f>IF(B157=0,0,E156)</f>
        <v>0</v>
      </c>
      <c r="F157" s="926" t="s">
        <v>182</v>
      </c>
      <c r="G157" s="926" t="s">
        <v>911</v>
      </c>
      <c r="H157" s="926"/>
      <c r="I157" s="920">
        <f>IF(B157=0,0,B157+E157)</f>
        <v>0</v>
      </c>
      <c r="J157" s="926" t="s">
        <v>182</v>
      </c>
    </row>
    <row r="158" spans="1:19" ht="20.100000000000001" customHeight="1">
      <c r="A158" s="926" t="s">
        <v>1248</v>
      </c>
      <c r="B158" s="926"/>
      <c r="G158" s="929"/>
      <c r="I158" s="897"/>
      <c r="J158" s="930"/>
    </row>
    <row r="159" spans="1:19" ht="20.100000000000001" customHeight="1">
      <c r="A159" s="926" t="s">
        <v>1246</v>
      </c>
      <c r="B159" s="924">
        <v>0</v>
      </c>
      <c r="C159" s="1467" t="s">
        <v>182</v>
      </c>
      <c r="D159" s="926" t="s">
        <v>136</v>
      </c>
      <c r="E159" s="928">
        <f>IF(B159=0,0,E157)</f>
        <v>0</v>
      </c>
      <c r="F159" s="926" t="s">
        <v>182</v>
      </c>
      <c r="G159" s="926" t="s">
        <v>911</v>
      </c>
      <c r="H159" s="926"/>
      <c r="I159" s="920">
        <f>IF(B159=0,0,B159+E159)</f>
        <v>0</v>
      </c>
      <c r="J159" s="926" t="s">
        <v>182</v>
      </c>
    </row>
    <row r="160" spans="1:19" ht="20.100000000000001" customHeight="1">
      <c r="A160" s="926" t="s">
        <v>1247</v>
      </c>
      <c r="B160" s="924">
        <v>0</v>
      </c>
      <c r="C160" s="1467" t="s">
        <v>182</v>
      </c>
      <c r="D160" s="926" t="s">
        <v>136</v>
      </c>
      <c r="E160" s="928">
        <f>IF(B160=0,0,E159)</f>
        <v>0</v>
      </c>
      <c r="F160" s="926" t="s">
        <v>182</v>
      </c>
      <c r="G160" s="926" t="s">
        <v>911</v>
      </c>
      <c r="H160" s="926"/>
      <c r="I160" s="920">
        <f>IF(B160=0,0,B160+E160)</f>
        <v>0</v>
      </c>
      <c r="J160" s="926" t="s">
        <v>182</v>
      </c>
    </row>
    <row r="161" spans="1:19" ht="20.100000000000001" customHeight="1">
      <c r="B161" s="897"/>
      <c r="E161" s="897"/>
      <c r="I161" s="897"/>
    </row>
    <row r="162" spans="1:19" ht="20.100000000000001" customHeight="1">
      <c r="A162" s="900" t="s">
        <v>1980</v>
      </c>
      <c r="B162" s="901"/>
      <c r="C162" s="1460"/>
    </row>
    <row r="163" spans="1:19" ht="20.100000000000001" customHeight="1">
      <c r="A163" s="923" t="s">
        <v>1981</v>
      </c>
      <c r="B163" s="924"/>
      <c r="C163" s="1466"/>
      <c r="D163" s="924"/>
      <c r="E163" s="924"/>
      <c r="G163" s="925" t="s">
        <v>910</v>
      </c>
      <c r="H163" s="926"/>
      <c r="I163" s="924">
        <f>I106</f>
        <v>843</v>
      </c>
      <c r="J163" s="927" t="s">
        <v>181</v>
      </c>
    </row>
    <row r="164" spans="1:19" ht="20.100000000000001" customHeight="1">
      <c r="A164" s="926" t="s">
        <v>1238</v>
      </c>
      <c r="B164" s="926"/>
      <c r="C164" s="1467"/>
      <c r="D164" s="926"/>
      <c r="E164" s="926"/>
    </row>
    <row r="165" spans="1:19" ht="20.100000000000001" customHeight="1">
      <c r="A165" s="926" t="s">
        <v>129</v>
      </c>
      <c r="B165" s="924">
        <v>42166.67</v>
      </c>
      <c r="C165" s="1467" t="s">
        <v>182</v>
      </c>
      <c r="D165" s="926" t="s">
        <v>136</v>
      </c>
      <c r="E165" s="928">
        <f>IF(B165=0,0,IF(I163&lt;=200,VLOOKUP(I163,'บรรทุกสิบล้อ+ลากพ่วง'!$A$9:$C$208,2),(((I163-200)*'บรรทุกสิบล้อ+ลากพ่วง'!$B$209)+'บรรทุกสิบล้อ+ลากพ่วง'!$B$208)))</f>
        <v>1138.7</v>
      </c>
      <c r="F165" s="926" t="s">
        <v>182</v>
      </c>
      <c r="G165" s="926" t="s">
        <v>911</v>
      </c>
      <c r="H165" s="926"/>
      <c r="I165" s="920">
        <f>IF(B165=0,0,B165+E165)</f>
        <v>43305.369999999995</v>
      </c>
      <c r="J165" s="926" t="s">
        <v>182</v>
      </c>
      <c r="K165" s="895" t="s">
        <v>1241</v>
      </c>
      <c r="L165" s="895">
        <f>IF(B165=0,I171,IF(B171=0,I165,MIN(I165,I171)))</f>
        <v>43305.369999999995</v>
      </c>
      <c r="M165" s="895" t="str">
        <f>IF(L165=I165,"สำนักดัชนีเศรษฐกิจการค้า กรุงเทพมหานคร",IF(L165=I171,"สำนักงานพาณิชย์การค้า จังหวัดพัทลุง",0))</f>
        <v>สำนักดัชนีเศรษฐกิจการค้า กรุงเทพมหานคร</v>
      </c>
      <c r="Q165" s="895">
        <f>IF(L165=I165,B165,IF(L165=I171,B171,0))</f>
        <v>42166.67</v>
      </c>
      <c r="R165" s="895">
        <f>IF(L165=I165,$I$163,IF(L165=I171,$I$169,0))</f>
        <v>843</v>
      </c>
      <c r="S165" s="895">
        <f>IF(L165=I165,$E$165,IF(L165=I171,$E$171,0))</f>
        <v>1138.7</v>
      </c>
    </row>
    <row r="166" spans="1:19" ht="20.100000000000001" customHeight="1">
      <c r="A166" s="926" t="s">
        <v>1239</v>
      </c>
      <c r="B166" s="926"/>
      <c r="C166" s="1467"/>
      <c r="D166" s="926"/>
      <c r="E166" s="926"/>
    </row>
    <row r="167" spans="1:19" ht="20.100000000000001" customHeight="1">
      <c r="A167" s="926" t="s">
        <v>129</v>
      </c>
      <c r="B167" s="924">
        <v>42500</v>
      </c>
      <c r="C167" s="1467" t="s">
        <v>182</v>
      </c>
      <c r="D167" s="926" t="s">
        <v>136</v>
      </c>
      <c r="E167" s="928">
        <f>IF(B167=0,0,E165)</f>
        <v>1138.7</v>
      </c>
      <c r="F167" s="926" t="s">
        <v>182</v>
      </c>
      <c r="G167" s="926" t="s">
        <v>911</v>
      </c>
      <c r="H167" s="926"/>
      <c r="I167" s="920">
        <f>IF(B167=0,0,B167+E167)</f>
        <v>43638.7</v>
      </c>
      <c r="J167" s="926" t="s">
        <v>182</v>
      </c>
      <c r="K167" s="895" t="s">
        <v>1242</v>
      </c>
      <c r="L167" s="895">
        <f>IF(B167=0,I173,IF(B173=0,I167,MIN(I167,I173)))</f>
        <v>43638.7</v>
      </c>
      <c r="M167" s="895" t="str">
        <f>IF(L167=I167,"สำนักดัชนีเศรษฐกิจการค้า กรุงเทพมหานคร",IF(L167=I173,"สำนักงานพาณิชย์การค้า จังหวัดพัทลุง",0))</f>
        <v>สำนักดัชนีเศรษฐกิจการค้า กรุงเทพมหานคร</v>
      </c>
      <c r="Q167" s="895">
        <f>IF(L167=I167,B167,IF(L167=I173,B173,0))</f>
        <v>42500</v>
      </c>
      <c r="R167" s="895">
        <f>IF(L167=I167,$I$163,IF(L167=I173,$I$169,0))</f>
        <v>843</v>
      </c>
      <c r="S167" s="895">
        <f>IF(L167=I167,$E$165,IF(L167=I173,$E$171,0))</f>
        <v>1138.7</v>
      </c>
    </row>
    <row r="168" spans="1:19" ht="20.100000000000001" customHeight="1">
      <c r="B168" s="897"/>
      <c r="E168" s="897"/>
      <c r="I168" s="897"/>
    </row>
    <row r="169" spans="1:19" ht="20.100000000000001" customHeight="1">
      <c r="A169" s="923" t="s">
        <v>1982</v>
      </c>
      <c r="B169" s="924"/>
      <c r="C169" s="1466"/>
      <c r="D169" s="924"/>
      <c r="E169" s="924"/>
      <c r="G169" s="925" t="s">
        <v>910</v>
      </c>
      <c r="H169" s="926"/>
      <c r="I169" s="924">
        <v>0</v>
      </c>
      <c r="J169" s="927" t="s">
        <v>181</v>
      </c>
    </row>
    <row r="170" spans="1:19" ht="20.100000000000001" customHeight="1">
      <c r="A170" s="926" t="s">
        <v>1238</v>
      </c>
      <c r="B170" s="926"/>
      <c r="C170" s="1467"/>
      <c r="D170" s="926"/>
      <c r="E170" s="926"/>
    </row>
    <row r="171" spans="1:19" ht="20.100000000000001" customHeight="1">
      <c r="A171" s="926" t="s">
        <v>129</v>
      </c>
      <c r="B171" s="924">
        <v>0</v>
      </c>
      <c r="C171" s="1467" t="s">
        <v>182</v>
      </c>
      <c r="D171" s="926" t="s">
        <v>136</v>
      </c>
      <c r="E171" s="928">
        <f>IF(B171=0,0,IF(I169&lt;=200,VLOOKUP(I169,'บรรทุกสิบล้อ+ลากพ่วง'!$A$9:$C$208,2),(((I169-200)*'บรรทุกสิบล้อ+ลากพ่วง'!$B$209)+'บรรทุกสิบล้อ+ลากพ่วง'!$B$208)))</f>
        <v>0</v>
      </c>
      <c r="F171" s="926" t="s">
        <v>182</v>
      </c>
      <c r="G171" s="926" t="s">
        <v>911</v>
      </c>
      <c r="H171" s="926"/>
      <c r="I171" s="920">
        <f>IF(B171=0,0,B171+E171)</f>
        <v>0</v>
      </c>
      <c r="J171" s="926" t="s">
        <v>182</v>
      </c>
    </row>
    <row r="172" spans="1:19" ht="20.100000000000001" customHeight="1">
      <c r="A172" s="926" t="s">
        <v>1239</v>
      </c>
      <c r="B172" s="926"/>
      <c r="C172" s="1467"/>
      <c r="D172" s="926"/>
      <c r="E172" s="926"/>
    </row>
    <row r="173" spans="1:19" ht="20.100000000000001" customHeight="1">
      <c r="A173" s="926" t="s">
        <v>129</v>
      </c>
      <c r="B173" s="924">
        <v>0</v>
      </c>
      <c r="C173" s="1467" t="s">
        <v>182</v>
      </c>
      <c r="D173" s="926" t="s">
        <v>136</v>
      </c>
      <c r="E173" s="928">
        <f>IF(B173=0,0,E171)</f>
        <v>0</v>
      </c>
      <c r="F173" s="926" t="s">
        <v>182</v>
      </c>
      <c r="G173" s="926" t="s">
        <v>911</v>
      </c>
      <c r="H173" s="926"/>
      <c r="I173" s="920">
        <f>IF(B173=0,0,B173+E173)</f>
        <v>0</v>
      </c>
      <c r="J173" s="926" t="s">
        <v>182</v>
      </c>
    </row>
    <row r="174" spans="1:19" ht="20.100000000000001" customHeight="1">
      <c r="B174" s="897"/>
      <c r="E174" s="897"/>
      <c r="I174" s="897"/>
    </row>
    <row r="175" spans="1:19" ht="20.100000000000001" customHeight="1">
      <c r="A175" s="900" t="s">
        <v>1983</v>
      </c>
      <c r="B175" s="901"/>
      <c r="C175" s="1460"/>
    </row>
    <row r="176" spans="1:19" ht="20.100000000000001" customHeight="1">
      <c r="A176" s="1583" t="s">
        <v>0</v>
      </c>
      <c r="B176" s="1584" t="s">
        <v>1210</v>
      </c>
      <c r="C176" s="1585"/>
      <c r="D176" s="1585"/>
      <c r="E176" s="1586"/>
      <c r="F176" s="903" t="s">
        <v>129</v>
      </c>
      <c r="G176" s="903" t="s">
        <v>1209</v>
      </c>
      <c r="H176" s="903" t="s">
        <v>136</v>
      </c>
      <c r="I176" s="903" t="s">
        <v>1211</v>
      </c>
    </row>
    <row r="177" spans="1:13" ht="20.100000000000001" customHeight="1">
      <c r="A177" s="1583"/>
      <c r="B177" s="1587"/>
      <c r="C177" s="1588"/>
      <c r="D177" s="1588"/>
      <c r="E177" s="1589"/>
      <c r="F177" s="904" t="s">
        <v>182</v>
      </c>
      <c r="G177" s="904" t="s">
        <v>181</v>
      </c>
      <c r="H177" s="904" t="s">
        <v>182</v>
      </c>
      <c r="I177" s="904" t="s">
        <v>182</v>
      </c>
    </row>
    <row r="178" spans="1:13" ht="20.100000000000001" customHeight="1">
      <c r="A178" s="905">
        <v>1</v>
      </c>
      <c r="B178" s="906" t="s">
        <v>1240</v>
      </c>
      <c r="C178" s="1461"/>
      <c r="D178" s="907"/>
      <c r="E178" s="908"/>
      <c r="F178" s="909">
        <f>37.38*1000</f>
        <v>37380</v>
      </c>
      <c r="G178" s="909">
        <f>G11</f>
        <v>20</v>
      </c>
      <c r="H178" s="910">
        <f>IF(G178=0,0,IF(G178&lt;=200,VLOOKUP(G178,'บรรทุกสิบล้อ+ลากพ่วง'!$A$9:$C$208,2),(((G178-200)*'บรรทุกสิบล้อ+ลากพ่วง'!$B$209)+'บรรทุกสิบล้อ+ลากพ่วง'!$B$208)))</f>
        <v>27.61</v>
      </c>
      <c r="I178" s="910">
        <f>IF(F178=0,"N/A",F178+H178)</f>
        <v>37407.61</v>
      </c>
      <c r="K178" s="913"/>
      <c r="L178" s="911">
        <f t="shared" ref="L178:L183" si="33">I178</f>
        <v>37407.61</v>
      </c>
      <c r="M178" s="912">
        <f>A178</f>
        <v>1</v>
      </c>
    </row>
    <row r="179" spans="1:13" ht="20.100000000000001" customHeight="1">
      <c r="A179" s="905">
        <v>2</v>
      </c>
      <c r="B179" s="906" t="s">
        <v>2065</v>
      </c>
      <c r="C179" s="1461"/>
      <c r="D179" s="907"/>
      <c r="E179" s="908"/>
      <c r="F179" s="909">
        <f>19.74*1000</f>
        <v>19740</v>
      </c>
      <c r="G179" s="909">
        <f>I163</f>
        <v>843</v>
      </c>
      <c r="H179" s="910">
        <f>IF(G179=0,0,IF(G179&lt;=200,VLOOKUP(G179,'บรรทุกสิบล้อ+ลากพ่วง'!$A$9:$C$208,2),(((G179-200)*'บรรทุกสิบล้อ+ลากพ่วง'!$B$209)+'บรรทุกสิบล้อ+ลากพ่วง'!$B$208)))</f>
        <v>1138.7</v>
      </c>
      <c r="I179" s="910">
        <f>IF(F179=0,"N/A",F179+H179)</f>
        <v>20878.7</v>
      </c>
      <c r="K179" s="922"/>
      <c r="L179" s="911">
        <f t="shared" si="33"/>
        <v>20878.7</v>
      </c>
      <c r="M179" s="912">
        <f>A179</f>
        <v>2</v>
      </c>
    </row>
    <row r="180" spans="1:13" ht="20.100000000000001" customHeight="1">
      <c r="A180" s="905">
        <v>3</v>
      </c>
      <c r="B180" s="906" t="s">
        <v>2066</v>
      </c>
      <c r="C180" s="1461"/>
      <c r="D180" s="907"/>
      <c r="E180" s="908"/>
      <c r="F180" s="909">
        <f>80*1000</f>
        <v>80000</v>
      </c>
      <c r="G180" s="909">
        <v>12</v>
      </c>
      <c r="H180" s="910">
        <f>IF(G180=0,0,IF(G180&lt;=200,VLOOKUP(G180,'บรรทุกสิบล้อ+ลากพ่วง'!$A$9:$C$208,2),(((G180-200)*'บรรทุกสิบล้อ+ลากพ่วง'!$B$209)+'บรรทุกสิบล้อ+ลากพ่วง'!$B$208)))</f>
        <v>17.27</v>
      </c>
      <c r="I180" s="910">
        <f>IF(F180=0,"N/A",F180+H180)</f>
        <v>80017.27</v>
      </c>
      <c r="K180" s="913"/>
      <c r="L180" s="911">
        <f t="shared" si="33"/>
        <v>80017.27</v>
      </c>
      <c r="M180" s="912">
        <f>A180</f>
        <v>3</v>
      </c>
    </row>
    <row r="181" spans="1:13" ht="20.100000000000001" customHeight="1">
      <c r="A181" s="905">
        <v>4</v>
      </c>
      <c r="B181" s="906" t="s">
        <v>2067</v>
      </c>
      <c r="C181" s="1461"/>
      <c r="D181" s="907"/>
      <c r="E181" s="908"/>
      <c r="F181" s="909">
        <f>44.33*1000</f>
        <v>44330</v>
      </c>
      <c r="G181" s="909">
        <f>I154</f>
        <v>20</v>
      </c>
      <c r="H181" s="910">
        <f>IF(G181=0,0,IF(G181&lt;=200,VLOOKUP(G181,'บรรทุกสิบล้อ+ลากพ่วง'!$A$9:$C$208,2),(((G181-200)*'บรรทุกสิบล้อ+ลากพ่วง'!$B$209)+'บรรทุกสิบล้อ+ลากพ่วง'!$B$208)))</f>
        <v>27.61</v>
      </c>
      <c r="I181" s="910">
        <f>IF(F181=0,"N/A",F181+H181)</f>
        <v>44357.61</v>
      </c>
      <c r="K181" s="913"/>
      <c r="L181" s="911">
        <f t="shared" si="33"/>
        <v>44357.61</v>
      </c>
      <c r="M181" s="912">
        <f>A181</f>
        <v>4</v>
      </c>
    </row>
    <row r="182" spans="1:13" ht="20.100000000000001" customHeight="1">
      <c r="A182" s="905">
        <v>5</v>
      </c>
      <c r="B182" s="906" t="s">
        <v>2068</v>
      </c>
      <c r="C182" s="1461"/>
      <c r="D182" s="907"/>
      <c r="E182" s="908"/>
      <c r="F182" s="909">
        <f>50*1000</f>
        <v>50000</v>
      </c>
      <c r="G182" s="909">
        <v>12</v>
      </c>
      <c r="H182" s="910">
        <f>IF(G182=0,0,IF(G182&lt;=200,VLOOKUP(G182,'บรรทุกสิบล้อ+ลากพ่วง'!$A$9:$C$208,2),(((G182-200)*'บรรทุกสิบล้อ+ลากพ่วง'!$B$209)+'บรรทุกสิบล้อ+ลากพ่วง'!$B$208)))</f>
        <v>17.27</v>
      </c>
      <c r="I182" s="910">
        <f>IF(F182=0,"N/A",F182+H182)</f>
        <v>50017.27</v>
      </c>
      <c r="K182" s="913"/>
      <c r="L182" s="911">
        <f t="shared" si="33"/>
        <v>50017.27</v>
      </c>
      <c r="M182" s="912">
        <f>A182</f>
        <v>5</v>
      </c>
    </row>
    <row r="183" spans="1:13" ht="20.100000000000001" customHeight="1" thickBot="1">
      <c r="F183" s="914"/>
      <c r="G183" s="914"/>
      <c r="H183" s="914" t="s">
        <v>1212</v>
      </c>
      <c r="I183" s="932">
        <f>MIN(I178:I182)</f>
        <v>20878.7</v>
      </c>
      <c r="L183" s="895">
        <f t="shared" si="33"/>
        <v>20878.7</v>
      </c>
      <c r="M183" s="916">
        <f>IF(L183=L178,M178,IF(L183=L179,M179,IF(L183=L180,M180,IF(L183=L181,M181,M182))))</f>
        <v>2</v>
      </c>
    </row>
    <row r="184" spans="1:13" ht="20.100000000000001" customHeight="1" thickTop="1">
      <c r="B184" s="917" t="s">
        <v>1224</v>
      </c>
      <c r="C184" s="1463" t="str">
        <f>VLOOKUP(M183,A178:N182,2)</f>
        <v>สำนักดัชนีเศรษฐกิจการค้า กรุงเทพมหานคร</v>
      </c>
      <c r="D184" s="918"/>
      <c r="E184" s="918"/>
      <c r="F184" s="918"/>
      <c r="G184" s="916"/>
      <c r="H184" s="916"/>
      <c r="I184" s="916"/>
    </row>
    <row r="185" spans="1:13" ht="20.100000000000001" customHeight="1">
      <c r="A185" s="917" t="s">
        <v>129</v>
      </c>
      <c r="B185" s="919">
        <f>VLOOKUP(M183,A178:I182,6)</f>
        <v>19740</v>
      </c>
      <c r="C185" s="1464" t="s">
        <v>182</v>
      </c>
      <c r="D185" s="917" t="s">
        <v>15</v>
      </c>
      <c r="E185" s="919">
        <f>VLOOKUP(M183,A178:I182,7)</f>
        <v>843</v>
      </c>
      <c r="F185" s="916" t="s">
        <v>181</v>
      </c>
      <c r="G185" s="917" t="s">
        <v>136</v>
      </c>
      <c r="H185" s="918">
        <f>VLOOKUP(M183,A178:I182,8)</f>
        <v>1138.7</v>
      </c>
      <c r="I185" s="916" t="s">
        <v>182</v>
      </c>
    </row>
    <row r="186" spans="1:13" ht="20.100000000000001" customHeight="1">
      <c r="A186" s="917"/>
      <c r="B186" s="921"/>
      <c r="C186" s="1464"/>
      <c r="D186" s="917"/>
      <c r="E186" s="921"/>
      <c r="F186" s="916"/>
      <c r="G186" s="917"/>
      <c r="H186" s="916"/>
      <c r="I186" s="916"/>
    </row>
    <row r="187" spans="1:13" ht="20.100000000000001" customHeight="1">
      <c r="A187" s="900" t="s">
        <v>1984</v>
      </c>
      <c r="B187" s="901"/>
      <c r="C187" s="1460"/>
    </row>
    <row r="188" spans="1:13" ht="20.100000000000001" customHeight="1">
      <c r="A188" s="1591" t="s">
        <v>0</v>
      </c>
      <c r="B188" s="1584" t="s">
        <v>1210</v>
      </c>
      <c r="C188" s="1585"/>
      <c r="D188" s="1585"/>
      <c r="E188" s="1586"/>
      <c r="F188" s="903" t="s">
        <v>129</v>
      </c>
      <c r="G188" s="903" t="s">
        <v>1209</v>
      </c>
      <c r="H188" s="903" t="s">
        <v>136</v>
      </c>
      <c r="I188" s="903" t="s">
        <v>1211</v>
      </c>
    </row>
    <row r="189" spans="1:13" ht="20.100000000000001" customHeight="1">
      <c r="A189" s="1592"/>
      <c r="B189" s="1587"/>
      <c r="C189" s="1588"/>
      <c r="D189" s="1588"/>
      <c r="E189" s="1589"/>
      <c r="F189" s="904" t="s">
        <v>182</v>
      </c>
      <c r="G189" s="904" t="s">
        <v>181</v>
      </c>
      <c r="H189" s="904" t="s">
        <v>182</v>
      </c>
      <c r="I189" s="904" t="s">
        <v>182</v>
      </c>
    </row>
    <row r="190" spans="1:13" ht="20.100000000000001" customHeight="1">
      <c r="A190" s="905">
        <v>1</v>
      </c>
      <c r="B190" s="906" t="s">
        <v>1240</v>
      </c>
      <c r="C190" s="1461"/>
      <c r="D190" s="907"/>
      <c r="E190" s="908"/>
      <c r="F190" s="909">
        <f>35.82*1000</f>
        <v>35820</v>
      </c>
      <c r="G190" s="909">
        <f>G11</f>
        <v>20</v>
      </c>
      <c r="H190" s="910">
        <f>IF(G190=0,0,IF(G190&lt;=200,VLOOKUP(G190,'บรรทุกสิบล้อ+ลากพ่วง'!$A$9:$C$208,2),(((G190-200)*'บรรทุกสิบล้อ+ลากพ่วง'!$B$209)+'บรรทุกสิบล้อ+ลากพ่วง'!$B$208)))</f>
        <v>27.61</v>
      </c>
      <c r="I190" s="910">
        <f>IF(F190=0,"N/A",F190+H190)</f>
        <v>35847.61</v>
      </c>
      <c r="K190" s="913"/>
      <c r="L190" s="911">
        <f t="shared" ref="L190:L195" si="34">I190</f>
        <v>35847.61</v>
      </c>
      <c r="M190" s="912">
        <f>A190</f>
        <v>1</v>
      </c>
    </row>
    <row r="191" spans="1:13" ht="20.100000000000001" customHeight="1">
      <c r="A191" s="905">
        <v>2</v>
      </c>
      <c r="B191" s="906" t="s">
        <v>2066</v>
      </c>
      <c r="C191" s="1461"/>
      <c r="D191" s="907"/>
      <c r="E191" s="908"/>
      <c r="F191" s="909">
        <f>35.82*1000</f>
        <v>35820</v>
      </c>
      <c r="G191" s="909">
        <f>G180</f>
        <v>12</v>
      </c>
      <c r="H191" s="910">
        <f>IF(G191=0,0,IF(G191&lt;=200,VLOOKUP(G191,'บรรทุกสิบล้อ+ลากพ่วง'!$A$9:$C$208,2),(((G191-200)*'บรรทุกสิบล้อ+ลากพ่วง'!$B$209)+'บรรทุกสิบล้อ+ลากพ่วง'!$B$208)))</f>
        <v>17.27</v>
      </c>
      <c r="I191" s="910">
        <f>IF(F191=0,"N/A",F191+H191)</f>
        <v>35837.269999999997</v>
      </c>
      <c r="K191" s="922"/>
      <c r="L191" s="911">
        <f t="shared" si="34"/>
        <v>35837.269999999997</v>
      </c>
      <c r="M191" s="912">
        <f>A191</f>
        <v>2</v>
      </c>
    </row>
    <row r="192" spans="1:13" ht="20.100000000000001" customHeight="1">
      <c r="A192" s="905">
        <v>3</v>
      </c>
      <c r="B192" s="906" t="s">
        <v>2067</v>
      </c>
      <c r="C192" s="1461"/>
      <c r="D192" s="907"/>
      <c r="E192" s="908"/>
      <c r="F192" s="909">
        <f>29.11*1000</f>
        <v>29110</v>
      </c>
      <c r="G192" s="909">
        <f>G181</f>
        <v>20</v>
      </c>
      <c r="H192" s="910">
        <f>IF(G192=0,0,IF(G192&lt;=200,VLOOKUP(G192,'บรรทุกสิบล้อ+ลากพ่วง'!$A$9:$C$208,2),(((G192-200)*'บรรทุกสิบล้อ+ลากพ่วง'!$B$209)+'บรรทุกสิบล้อ+ลากพ่วง'!$B$208)))</f>
        <v>27.61</v>
      </c>
      <c r="I192" s="910">
        <f>IF(F192=0,"N/A",F192+H192)</f>
        <v>29137.61</v>
      </c>
      <c r="K192" s="913"/>
      <c r="L192" s="911">
        <f t="shared" si="34"/>
        <v>29137.61</v>
      </c>
      <c r="M192" s="912">
        <f>A192</f>
        <v>3</v>
      </c>
    </row>
    <row r="193" spans="1:19" ht="20.100000000000001" customHeight="1">
      <c r="A193" s="905">
        <v>4</v>
      </c>
      <c r="B193" s="906" t="s">
        <v>2068</v>
      </c>
      <c r="C193" s="1461"/>
      <c r="D193" s="907"/>
      <c r="E193" s="908"/>
      <c r="F193" s="909">
        <f>50*1000</f>
        <v>50000</v>
      </c>
      <c r="G193" s="909">
        <f>G182</f>
        <v>12</v>
      </c>
      <c r="H193" s="910">
        <f>IF(G193=0,0,IF(G193&lt;=200,VLOOKUP(G193,'บรรทุกสิบล้อ+ลากพ่วง'!$A$9:$C$208,2),(((G193-200)*'บรรทุกสิบล้อ+ลากพ่วง'!$B$209)+'บรรทุกสิบล้อ+ลากพ่วง'!$B$208)))</f>
        <v>17.27</v>
      </c>
      <c r="I193" s="910">
        <f>IF(F193=0,"N/A",F193+H193)</f>
        <v>50017.27</v>
      </c>
      <c r="K193" s="913"/>
      <c r="L193" s="911">
        <f t="shared" si="34"/>
        <v>50017.27</v>
      </c>
      <c r="M193" s="912">
        <f>A193</f>
        <v>4</v>
      </c>
    </row>
    <row r="194" spans="1:19" ht="20.100000000000001" customHeight="1">
      <c r="A194" s="905">
        <v>5</v>
      </c>
      <c r="B194" s="906"/>
      <c r="C194" s="1461"/>
      <c r="D194" s="907"/>
      <c r="E194" s="908"/>
      <c r="F194" s="909">
        <v>0</v>
      </c>
      <c r="G194" s="909">
        <v>0</v>
      </c>
      <c r="H194" s="910">
        <f>IF(G194=0,0,IF(G194&lt;=200,VLOOKUP(G194,'บรรทุกสิบล้อ+ลากพ่วง'!$A$9:$C$208,2),(((G194-200)*'บรรทุกสิบล้อ+ลากพ่วง'!$B$209)+'บรรทุกสิบล้อ+ลากพ่วง'!$B$208)))</f>
        <v>0</v>
      </c>
      <c r="I194" s="910" t="str">
        <f>IF(F194=0,"N/A",F194+H194)</f>
        <v>N/A</v>
      </c>
      <c r="K194" s="913"/>
      <c r="L194" s="911" t="str">
        <f t="shared" si="34"/>
        <v>N/A</v>
      </c>
      <c r="M194" s="912">
        <f>A194</f>
        <v>5</v>
      </c>
    </row>
    <row r="195" spans="1:19" ht="20.100000000000001" customHeight="1" thickBot="1">
      <c r="F195" s="914"/>
      <c r="G195" s="914"/>
      <c r="H195" s="914" t="s">
        <v>1212</v>
      </c>
      <c r="I195" s="932">
        <f>MIN(I190:I194)</f>
        <v>29137.61</v>
      </c>
      <c r="L195" s="895">
        <f t="shared" si="34"/>
        <v>29137.61</v>
      </c>
      <c r="M195" s="916">
        <f>IF(L195=L190,M190,IF(L195=L191,M191,IF(L195=L192,M192,IF(L195=L193,M193,M194))))</f>
        <v>3</v>
      </c>
    </row>
    <row r="196" spans="1:19" ht="20.100000000000001" customHeight="1" thickTop="1">
      <c r="B196" s="917" t="s">
        <v>1224</v>
      </c>
      <c r="C196" s="1463" t="str">
        <f>VLOOKUP(M195,A190:N194,2)</f>
        <v>หจก. มังกรทองวัสดุก่อสร้าง</v>
      </c>
      <c r="D196" s="918"/>
      <c r="E196" s="918"/>
      <c r="F196" s="918"/>
      <c r="G196" s="916"/>
      <c r="H196" s="916"/>
      <c r="I196" s="916"/>
    </row>
    <row r="197" spans="1:19" ht="20.100000000000001" customHeight="1">
      <c r="A197" s="917" t="s">
        <v>129</v>
      </c>
      <c r="B197" s="919">
        <f>VLOOKUP(M195,A190:I194,6)</f>
        <v>29110</v>
      </c>
      <c r="C197" s="1464" t="s">
        <v>182</v>
      </c>
      <c r="D197" s="917" t="s">
        <v>15</v>
      </c>
      <c r="E197" s="919">
        <f>VLOOKUP(M195,A190:I194,7)</f>
        <v>20</v>
      </c>
      <c r="F197" s="916" t="s">
        <v>181</v>
      </c>
      <c r="G197" s="917" t="s">
        <v>136</v>
      </c>
      <c r="H197" s="918">
        <f>VLOOKUP(M195,A190:I194,8)</f>
        <v>27.61</v>
      </c>
      <c r="I197" s="916" t="s">
        <v>182</v>
      </c>
    </row>
    <row r="198" spans="1:19" ht="20.100000000000001" customHeight="1">
      <c r="A198" s="900" t="s">
        <v>1985</v>
      </c>
      <c r="B198" s="901"/>
      <c r="C198" s="1460"/>
    </row>
    <row r="199" spans="1:19" ht="20.100000000000001" customHeight="1">
      <c r="A199" s="923" t="s">
        <v>2027</v>
      </c>
      <c r="B199" s="924" t="s">
        <v>1232</v>
      </c>
      <c r="C199" s="1466"/>
      <c r="D199" s="924"/>
      <c r="E199" s="924"/>
      <c r="G199" s="925" t="s">
        <v>910</v>
      </c>
      <c r="H199" s="926"/>
      <c r="I199" s="924">
        <v>47</v>
      </c>
      <c r="J199" s="927" t="s">
        <v>181</v>
      </c>
    </row>
    <row r="200" spans="1:19" ht="20.100000000000001" customHeight="1">
      <c r="A200" s="933" t="s">
        <v>1831</v>
      </c>
      <c r="B200" s="924">
        <v>0</v>
      </c>
      <c r="C200" s="1467" t="s">
        <v>912</v>
      </c>
      <c r="D200" s="926" t="s">
        <v>136</v>
      </c>
      <c r="E200" s="928">
        <f>IF(I199=0,0,IF(I199&lt;=200,VLOOKUP(I199,บรรทุกสิบล้อ!$A$8:$C$207,2),(((I199-200)*บรรทุกสิบล้อ!$B$208)+บรรทุกสิบล้อ!$B$207)))</f>
        <v>104.79</v>
      </c>
      <c r="F200" s="926" t="s">
        <v>182</v>
      </c>
      <c r="G200" s="926" t="s">
        <v>911</v>
      </c>
      <c r="H200" s="926"/>
      <c r="I200" s="920">
        <f t="shared" ref="I200:I205" si="35">IF(B200=0,0,B200+E200)</f>
        <v>0</v>
      </c>
      <c r="J200" s="926" t="s">
        <v>182</v>
      </c>
    </row>
    <row r="201" spans="1:19" ht="20.100000000000001" customHeight="1">
      <c r="A201" s="933" t="s">
        <v>1832</v>
      </c>
      <c r="B201" s="924">
        <v>680</v>
      </c>
      <c r="C201" s="1467" t="s">
        <v>912</v>
      </c>
      <c r="D201" s="926" t="s">
        <v>136</v>
      </c>
      <c r="E201" s="928">
        <f>E200</f>
        <v>104.79</v>
      </c>
      <c r="F201" s="926" t="s">
        <v>182</v>
      </c>
      <c r="G201" s="926" t="s">
        <v>911</v>
      </c>
      <c r="H201" s="926"/>
      <c r="I201" s="920">
        <f t="shared" si="35"/>
        <v>784.79</v>
      </c>
      <c r="J201" s="926" t="s">
        <v>182</v>
      </c>
    </row>
    <row r="202" spans="1:19" ht="20.100000000000001" customHeight="1">
      <c r="A202" s="933" t="s">
        <v>1833</v>
      </c>
      <c r="B202" s="924">
        <v>1020</v>
      </c>
      <c r="C202" s="1467" t="s">
        <v>912</v>
      </c>
      <c r="D202" s="926" t="s">
        <v>136</v>
      </c>
      <c r="E202" s="928">
        <f>E201</f>
        <v>104.79</v>
      </c>
      <c r="F202" s="926" t="s">
        <v>182</v>
      </c>
      <c r="G202" s="926" t="s">
        <v>911</v>
      </c>
      <c r="H202" s="926"/>
      <c r="I202" s="920">
        <f t="shared" si="35"/>
        <v>1124.79</v>
      </c>
      <c r="J202" s="926" t="s">
        <v>182</v>
      </c>
    </row>
    <row r="203" spans="1:19" ht="20.100000000000001" customHeight="1">
      <c r="A203" s="933" t="s">
        <v>1834</v>
      </c>
      <c r="B203" s="924">
        <v>1500</v>
      </c>
      <c r="C203" s="1467" t="s">
        <v>912</v>
      </c>
      <c r="D203" s="926" t="s">
        <v>136</v>
      </c>
      <c r="E203" s="928">
        <f>E202</f>
        <v>104.79</v>
      </c>
      <c r="F203" s="926" t="s">
        <v>182</v>
      </c>
      <c r="G203" s="926" t="s">
        <v>911</v>
      </c>
      <c r="H203" s="926"/>
      <c r="I203" s="920">
        <f t="shared" si="35"/>
        <v>1604.79</v>
      </c>
      <c r="J203" s="926" t="s">
        <v>182</v>
      </c>
    </row>
    <row r="204" spans="1:19" ht="20.100000000000001" customHeight="1">
      <c r="A204" s="933" t="s">
        <v>1835</v>
      </c>
      <c r="B204" s="924">
        <v>2500</v>
      </c>
      <c r="C204" s="1467" t="s">
        <v>912</v>
      </c>
      <c r="D204" s="926" t="s">
        <v>136</v>
      </c>
      <c r="E204" s="928">
        <f>E203</f>
        <v>104.79</v>
      </c>
      <c r="F204" s="926" t="s">
        <v>182</v>
      </c>
      <c r="G204" s="926" t="s">
        <v>911</v>
      </c>
      <c r="H204" s="926"/>
      <c r="I204" s="920">
        <f t="shared" si="35"/>
        <v>2604.79</v>
      </c>
      <c r="J204" s="926" t="s">
        <v>182</v>
      </c>
    </row>
    <row r="205" spans="1:19" ht="20.100000000000001" customHeight="1">
      <c r="A205" s="933" t="s">
        <v>1836</v>
      </c>
      <c r="B205" s="924">
        <v>3960</v>
      </c>
      <c r="C205" s="1467" t="s">
        <v>912</v>
      </c>
      <c r="D205" s="926" t="s">
        <v>136</v>
      </c>
      <c r="E205" s="928">
        <f>E204</f>
        <v>104.79</v>
      </c>
      <c r="F205" s="926" t="s">
        <v>182</v>
      </c>
      <c r="G205" s="926" t="s">
        <v>911</v>
      </c>
      <c r="H205" s="926"/>
      <c r="I205" s="920">
        <f t="shared" si="35"/>
        <v>4064.79</v>
      </c>
      <c r="J205" s="926" t="s">
        <v>182</v>
      </c>
    </row>
    <row r="206" spans="1:19" ht="20.100000000000001" customHeight="1">
      <c r="A206" s="1449"/>
      <c r="B206" s="897"/>
      <c r="C206" s="1457"/>
      <c r="D206" s="897"/>
      <c r="E206" s="1450"/>
      <c r="F206" s="897"/>
      <c r="G206" s="897"/>
      <c r="H206" s="897"/>
      <c r="I206" s="897"/>
      <c r="J206" s="897"/>
    </row>
    <row r="207" spans="1:19" ht="20.100000000000001" customHeight="1">
      <c r="A207" s="923" t="s">
        <v>1255</v>
      </c>
      <c r="B207" s="924" t="s">
        <v>2028</v>
      </c>
      <c r="C207" s="1466"/>
      <c r="D207" s="924"/>
      <c r="E207" s="924"/>
      <c r="G207" s="925" t="s">
        <v>910</v>
      </c>
      <c r="H207" s="926"/>
      <c r="I207" s="924">
        <v>55</v>
      </c>
      <c r="J207" s="927" t="s">
        <v>181</v>
      </c>
    </row>
    <row r="208" spans="1:19" ht="20.100000000000001" customHeight="1">
      <c r="A208" s="933" t="s">
        <v>1831</v>
      </c>
      <c r="B208" s="924">
        <v>0</v>
      </c>
      <c r="C208" s="1467" t="s">
        <v>912</v>
      </c>
      <c r="D208" s="926" t="s">
        <v>136</v>
      </c>
      <c r="E208" s="928">
        <f>IF(I207=0,0,IF(I207&lt;=200,VLOOKUP(I207,บรรทุกสิบล้อ!$A$8:$C$207,2),(((I207-200)*บรรทุกสิบล้อ!$B$208)+บรรทุกสิบล้อ!$B$207)))</f>
        <v>122.4</v>
      </c>
      <c r="F208" s="926" t="s">
        <v>182</v>
      </c>
      <c r="G208" s="926" t="s">
        <v>911</v>
      </c>
      <c r="H208" s="926"/>
      <c r="I208" s="920">
        <f t="shared" ref="I208:I213" si="36">IF(B208=0,0,B208+E208)</f>
        <v>0</v>
      </c>
      <c r="J208" s="926" t="s">
        <v>182</v>
      </c>
      <c r="K208" s="916" t="s">
        <v>1831</v>
      </c>
      <c r="L208" s="895">
        <f t="shared" ref="L208:L213" si="37">IF(AND(I200=0,I208=0),I216,IF(AND(I208=0,I216=0),I200,IF(AND(I200=0,I216=0),I208,IF(I200=0,MIN(I208,I216),IF(I208=0,MIN(I200,I216),IF(I216=0,MIN(I200,I208),MIN(I200,I208,I216)))))))</f>
        <v>0</v>
      </c>
      <c r="M208" s="895">
        <f t="shared" ref="M208:M213" si="38">IF(L208=0,0,IF(L208=I200,$B$199,IF(L208=I208,$B$207,$B$215)))</f>
        <v>0</v>
      </c>
      <c r="Q208" s="895">
        <f t="shared" ref="Q208:Q213" si="39">IF(L208=0,0,IF(L208=I200,B200,IF(L208=I208,B208,B216)))</f>
        <v>0</v>
      </c>
      <c r="R208" s="895">
        <f t="shared" ref="R208:R213" si="40">IF(L208=0,0,IF(L208=I200,$I$199,IF(L208=I208,$I$207,$I$215)))</f>
        <v>0</v>
      </c>
      <c r="S208" s="895">
        <f t="shared" ref="S208:S213" si="41">IF(L208=0,0,IF(L208=I200,E200,IF(L208=I208,E208,E216)))</f>
        <v>0</v>
      </c>
    </row>
    <row r="209" spans="1:19" ht="20.100000000000001" customHeight="1">
      <c r="A209" s="933" t="s">
        <v>1832</v>
      </c>
      <c r="B209" s="924">
        <v>650</v>
      </c>
      <c r="C209" s="1467" t="s">
        <v>912</v>
      </c>
      <c r="D209" s="926" t="s">
        <v>136</v>
      </c>
      <c r="E209" s="928">
        <f>E208</f>
        <v>122.4</v>
      </c>
      <c r="F209" s="926" t="s">
        <v>182</v>
      </c>
      <c r="G209" s="926" t="s">
        <v>911</v>
      </c>
      <c r="H209" s="926"/>
      <c r="I209" s="920">
        <f t="shared" si="36"/>
        <v>772.4</v>
      </c>
      <c r="J209" s="926" t="s">
        <v>182</v>
      </c>
      <c r="K209" s="916" t="s">
        <v>1832</v>
      </c>
      <c r="L209" s="895">
        <f t="shared" si="37"/>
        <v>772.4</v>
      </c>
      <c r="M209" s="895" t="str">
        <f t="shared" si="38"/>
        <v>ห้างหุ้นส่วนจำกัด หัวหรั่งคอนกรีต</v>
      </c>
      <c r="Q209" s="895">
        <f t="shared" si="39"/>
        <v>650</v>
      </c>
      <c r="R209" s="895">
        <f t="shared" si="40"/>
        <v>55</v>
      </c>
      <c r="S209" s="895">
        <f t="shared" si="41"/>
        <v>122.4</v>
      </c>
    </row>
    <row r="210" spans="1:19" ht="20.100000000000001" customHeight="1">
      <c r="A210" s="933" t="s">
        <v>1833</v>
      </c>
      <c r="B210" s="924">
        <v>850</v>
      </c>
      <c r="C210" s="1467" t="s">
        <v>912</v>
      </c>
      <c r="D210" s="926" t="s">
        <v>136</v>
      </c>
      <c r="E210" s="928">
        <f>E209</f>
        <v>122.4</v>
      </c>
      <c r="F210" s="926" t="s">
        <v>182</v>
      </c>
      <c r="G210" s="926" t="s">
        <v>911</v>
      </c>
      <c r="H210" s="926"/>
      <c r="I210" s="920">
        <f t="shared" si="36"/>
        <v>972.4</v>
      </c>
      <c r="J210" s="926" t="s">
        <v>182</v>
      </c>
      <c r="K210" s="916" t="s">
        <v>1833</v>
      </c>
      <c r="L210" s="895">
        <f t="shared" si="37"/>
        <v>972.4</v>
      </c>
      <c r="M210" s="895" t="str">
        <f t="shared" si="38"/>
        <v>ห้างหุ้นส่วนจำกัด หัวหรั่งคอนกรีต</v>
      </c>
      <c r="Q210" s="895">
        <f t="shared" si="39"/>
        <v>850</v>
      </c>
      <c r="R210" s="895">
        <f t="shared" si="40"/>
        <v>55</v>
      </c>
      <c r="S210" s="895">
        <f t="shared" si="41"/>
        <v>122.4</v>
      </c>
    </row>
    <row r="211" spans="1:19" ht="20.100000000000001" customHeight="1">
      <c r="A211" s="933" t="s">
        <v>1834</v>
      </c>
      <c r="B211" s="924">
        <v>1250</v>
      </c>
      <c r="C211" s="1467" t="s">
        <v>912</v>
      </c>
      <c r="D211" s="926" t="s">
        <v>136</v>
      </c>
      <c r="E211" s="928">
        <f>E210</f>
        <v>122.4</v>
      </c>
      <c r="F211" s="926" t="s">
        <v>182</v>
      </c>
      <c r="G211" s="926" t="s">
        <v>911</v>
      </c>
      <c r="H211" s="926"/>
      <c r="I211" s="920">
        <f t="shared" si="36"/>
        <v>1372.4</v>
      </c>
      <c r="J211" s="926" t="s">
        <v>182</v>
      </c>
      <c r="K211" s="916" t="s">
        <v>1834</v>
      </c>
      <c r="L211" s="895">
        <f t="shared" si="37"/>
        <v>1372.4</v>
      </c>
      <c r="M211" s="895" t="str">
        <f t="shared" si="38"/>
        <v>ห้างหุ้นส่วนจำกัด หัวหรั่งคอนกรีต</v>
      </c>
      <c r="Q211" s="895">
        <f t="shared" si="39"/>
        <v>1250</v>
      </c>
      <c r="R211" s="895">
        <f t="shared" si="40"/>
        <v>55</v>
      </c>
      <c r="S211" s="895">
        <f t="shared" si="41"/>
        <v>122.4</v>
      </c>
    </row>
    <row r="212" spans="1:19" ht="20.100000000000001" customHeight="1">
      <c r="A212" s="933" t="s">
        <v>1835</v>
      </c>
      <c r="B212" s="924">
        <v>2100</v>
      </c>
      <c r="C212" s="1467" t="s">
        <v>912</v>
      </c>
      <c r="D212" s="926" t="s">
        <v>136</v>
      </c>
      <c r="E212" s="928">
        <f>E211</f>
        <v>122.4</v>
      </c>
      <c r="F212" s="926" t="s">
        <v>182</v>
      </c>
      <c r="G212" s="926" t="s">
        <v>911</v>
      </c>
      <c r="H212" s="926"/>
      <c r="I212" s="920">
        <f t="shared" si="36"/>
        <v>2222.4</v>
      </c>
      <c r="J212" s="926" t="s">
        <v>182</v>
      </c>
      <c r="K212" s="916" t="s">
        <v>1835</v>
      </c>
      <c r="L212" s="895">
        <f t="shared" si="37"/>
        <v>2222.4</v>
      </c>
      <c r="M212" s="895" t="str">
        <f t="shared" si="38"/>
        <v>ห้างหุ้นส่วนจำกัด หัวหรั่งคอนกรีต</v>
      </c>
      <c r="Q212" s="895">
        <f t="shared" si="39"/>
        <v>2100</v>
      </c>
      <c r="R212" s="895">
        <f t="shared" si="40"/>
        <v>55</v>
      </c>
      <c r="S212" s="895">
        <f t="shared" si="41"/>
        <v>122.4</v>
      </c>
    </row>
    <row r="213" spans="1:19" ht="20.100000000000001" customHeight="1">
      <c r="A213" s="933" t="s">
        <v>1836</v>
      </c>
      <c r="B213" s="924">
        <v>3200</v>
      </c>
      <c r="C213" s="1467" t="s">
        <v>912</v>
      </c>
      <c r="D213" s="926" t="s">
        <v>136</v>
      </c>
      <c r="E213" s="928">
        <f>E212</f>
        <v>122.4</v>
      </c>
      <c r="F213" s="926" t="s">
        <v>182</v>
      </c>
      <c r="G213" s="926" t="s">
        <v>911</v>
      </c>
      <c r="H213" s="926"/>
      <c r="I213" s="920">
        <f t="shared" si="36"/>
        <v>3322.4</v>
      </c>
      <c r="J213" s="926" t="s">
        <v>182</v>
      </c>
      <c r="K213" s="916" t="s">
        <v>1836</v>
      </c>
      <c r="L213" s="895">
        <f t="shared" si="37"/>
        <v>3322.4</v>
      </c>
      <c r="M213" s="895" t="str">
        <f t="shared" si="38"/>
        <v>ห้างหุ้นส่วนจำกัด หัวหรั่งคอนกรีต</v>
      </c>
      <c r="Q213" s="895">
        <f t="shared" si="39"/>
        <v>3200</v>
      </c>
      <c r="R213" s="895">
        <f t="shared" si="40"/>
        <v>55</v>
      </c>
      <c r="S213" s="895">
        <f t="shared" si="41"/>
        <v>122.4</v>
      </c>
    </row>
    <row r="214" spans="1:19" ht="20.100000000000001" customHeight="1">
      <c r="K214" s="916"/>
    </row>
    <row r="215" spans="1:19" ht="20.100000000000001" customHeight="1">
      <c r="A215" s="923" t="s">
        <v>1986</v>
      </c>
      <c r="B215" s="924" t="s">
        <v>1256</v>
      </c>
      <c r="C215" s="1466"/>
      <c r="D215" s="924"/>
      <c r="E215" s="924"/>
      <c r="G215" s="925" t="s">
        <v>910</v>
      </c>
      <c r="H215" s="926"/>
      <c r="I215" s="924">
        <v>53</v>
      </c>
      <c r="J215" s="927" t="s">
        <v>181</v>
      </c>
      <c r="K215" s="916"/>
    </row>
    <row r="216" spans="1:19" ht="20.100000000000001" customHeight="1">
      <c r="A216" s="933" t="s">
        <v>1831</v>
      </c>
      <c r="B216" s="924">
        <v>0</v>
      </c>
      <c r="C216" s="1467" t="s">
        <v>912</v>
      </c>
      <c r="D216" s="926" t="s">
        <v>136</v>
      </c>
      <c r="E216" s="928">
        <f>IF(I215=0,0,IF(I215&lt;=200,VLOOKUP(I215,บรรทุกสิบล้อ!$A$8:$C$207,2),(((I215-200)*บรรทุกสิบล้อ!$B$208)+บรรทุกสิบล้อ!$B$207)))</f>
        <v>117.99</v>
      </c>
      <c r="F216" s="926" t="s">
        <v>182</v>
      </c>
      <c r="G216" s="926" t="s">
        <v>911</v>
      </c>
      <c r="H216" s="926"/>
      <c r="I216" s="920">
        <f t="shared" ref="I216:I221" si="42">IF(B216=0,0,B216+E216)</f>
        <v>0</v>
      </c>
      <c r="J216" s="926" t="s">
        <v>182</v>
      </c>
      <c r="K216" s="916"/>
    </row>
    <row r="217" spans="1:19" ht="20.100000000000001" customHeight="1">
      <c r="A217" s="933" t="s">
        <v>1832</v>
      </c>
      <c r="B217" s="924">
        <v>850</v>
      </c>
      <c r="C217" s="1467" t="s">
        <v>912</v>
      </c>
      <c r="D217" s="926" t="s">
        <v>136</v>
      </c>
      <c r="E217" s="928">
        <f>E216</f>
        <v>117.99</v>
      </c>
      <c r="F217" s="926" t="s">
        <v>182</v>
      </c>
      <c r="G217" s="926" t="s">
        <v>911</v>
      </c>
      <c r="H217" s="926"/>
      <c r="I217" s="920">
        <f t="shared" si="42"/>
        <v>967.99</v>
      </c>
      <c r="J217" s="926" t="s">
        <v>182</v>
      </c>
      <c r="K217" s="916"/>
    </row>
    <row r="218" spans="1:19" ht="20.100000000000001" customHeight="1">
      <c r="A218" s="933" t="s">
        <v>1833</v>
      </c>
      <c r="B218" s="924">
        <v>1200</v>
      </c>
      <c r="C218" s="1467" t="s">
        <v>912</v>
      </c>
      <c r="D218" s="926" t="s">
        <v>136</v>
      </c>
      <c r="E218" s="928">
        <f>E217</f>
        <v>117.99</v>
      </c>
      <c r="F218" s="926" t="s">
        <v>182</v>
      </c>
      <c r="G218" s="926" t="s">
        <v>911</v>
      </c>
      <c r="H218" s="926"/>
      <c r="I218" s="920">
        <f t="shared" si="42"/>
        <v>1317.99</v>
      </c>
      <c r="J218" s="926" t="s">
        <v>182</v>
      </c>
      <c r="K218" s="916"/>
    </row>
    <row r="219" spans="1:19" ht="20.100000000000001" customHeight="1">
      <c r="A219" s="933" t="s">
        <v>1834</v>
      </c>
      <c r="B219" s="924">
        <v>2150</v>
      </c>
      <c r="C219" s="1467" t="s">
        <v>912</v>
      </c>
      <c r="D219" s="926" t="s">
        <v>136</v>
      </c>
      <c r="E219" s="928">
        <f>E218</f>
        <v>117.99</v>
      </c>
      <c r="F219" s="926" t="s">
        <v>182</v>
      </c>
      <c r="G219" s="926" t="s">
        <v>911</v>
      </c>
      <c r="H219" s="926"/>
      <c r="I219" s="920">
        <f t="shared" si="42"/>
        <v>2267.9899999999998</v>
      </c>
      <c r="J219" s="926" t="s">
        <v>182</v>
      </c>
      <c r="K219" s="916"/>
    </row>
    <row r="220" spans="1:19" ht="20.100000000000001" customHeight="1">
      <c r="A220" s="933" t="s">
        <v>1835</v>
      </c>
      <c r="B220" s="924">
        <v>2750</v>
      </c>
      <c r="C220" s="1467" t="s">
        <v>912</v>
      </c>
      <c r="D220" s="926" t="s">
        <v>136</v>
      </c>
      <c r="E220" s="928">
        <f>E219</f>
        <v>117.99</v>
      </c>
      <c r="F220" s="926" t="s">
        <v>182</v>
      </c>
      <c r="G220" s="926" t="s">
        <v>911</v>
      </c>
      <c r="H220" s="926"/>
      <c r="I220" s="920">
        <f t="shared" si="42"/>
        <v>2867.99</v>
      </c>
      <c r="J220" s="926" t="s">
        <v>182</v>
      </c>
      <c r="K220" s="916"/>
    </row>
    <row r="221" spans="1:19" ht="20.100000000000001" customHeight="1">
      <c r="A221" s="933" t="s">
        <v>1836</v>
      </c>
      <c r="B221" s="924">
        <v>3450</v>
      </c>
      <c r="C221" s="1467" t="s">
        <v>912</v>
      </c>
      <c r="D221" s="926" t="s">
        <v>136</v>
      </c>
      <c r="E221" s="928">
        <f>E220</f>
        <v>117.99</v>
      </c>
      <c r="F221" s="926" t="s">
        <v>182</v>
      </c>
      <c r="G221" s="926" t="s">
        <v>911</v>
      </c>
      <c r="H221" s="926"/>
      <c r="I221" s="920">
        <f t="shared" si="42"/>
        <v>3567.99</v>
      </c>
      <c r="J221" s="926" t="s">
        <v>182</v>
      </c>
      <c r="K221" s="916"/>
    </row>
    <row r="222" spans="1:19" ht="20.100000000000001" customHeight="1">
      <c r="B222" s="897"/>
      <c r="E222" s="897"/>
      <c r="I222" s="897"/>
    </row>
    <row r="223" spans="1:19" ht="20.100000000000001" customHeight="1">
      <c r="A223" s="900" t="s">
        <v>2063</v>
      </c>
      <c r="B223" s="901"/>
      <c r="C223" s="1460"/>
    </row>
    <row r="224" spans="1:19" ht="20.100000000000001" customHeight="1">
      <c r="A224" s="923" t="s">
        <v>2033</v>
      </c>
      <c r="B224" s="924" t="s">
        <v>1256</v>
      </c>
      <c r="C224" s="1466"/>
      <c r="D224" s="924"/>
      <c r="E224" s="924"/>
      <c r="G224" s="925" t="s">
        <v>910</v>
      </c>
      <c r="H224" s="926"/>
      <c r="I224" s="924">
        <v>10</v>
      </c>
      <c r="J224" s="927" t="s">
        <v>181</v>
      </c>
    </row>
    <row r="225" spans="1:19" ht="20.100000000000001" customHeight="1">
      <c r="A225" s="1456" t="s">
        <v>2034</v>
      </c>
      <c r="B225" s="924">
        <v>8200</v>
      </c>
      <c r="C225" s="1467" t="s">
        <v>912</v>
      </c>
      <c r="D225" s="926" t="s">
        <v>136</v>
      </c>
      <c r="E225" s="928">
        <f>IF(I224=0,0,IF(I224&lt;=200,VLOOKUP(I224,บรรทุกสิบล้อ!$A$8:$C$207,2),(((I224-200)*บรรทุกสิบล้อ!$B$208)+บรรทุกสิบล้อ!$B$207)))</f>
        <v>23.29</v>
      </c>
      <c r="F225" s="926" t="s">
        <v>182</v>
      </c>
      <c r="G225" s="926" t="s">
        <v>911</v>
      </c>
      <c r="H225" s="926"/>
      <c r="I225" s="920">
        <f t="shared" ref="I225:I230" si="43">IF(B225=0,0,B225+E225)</f>
        <v>8223.2900000000009</v>
      </c>
      <c r="J225" s="926" t="s">
        <v>182</v>
      </c>
    </row>
    <row r="226" spans="1:19" ht="20.100000000000001" customHeight="1">
      <c r="A226" s="1456" t="s">
        <v>2035</v>
      </c>
      <c r="B226" s="924">
        <v>11500</v>
      </c>
      <c r="C226" s="1467" t="s">
        <v>912</v>
      </c>
      <c r="D226" s="926" t="s">
        <v>136</v>
      </c>
      <c r="E226" s="928">
        <f>E225</f>
        <v>23.29</v>
      </c>
      <c r="F226" s="926" t="s">
        <v>182</v>
      </c>
      <c r="G226" s="926" t="s">
        <v>911</v>
      </c>
      <c r="H226" s="926"/>
      <c r="I226" s="920">
        <f t="shared" si="43"/>
        <v>11523.29</v>
      </c>
      <c r="J226" s="926" t="s">
        <v>182</v>
      </c>
    </row>
    <row r="227" spans="1:19" ht="20.100000000000001" customHeight="1">
      <c r="A227" s="1456" t="s">
        <v>2036</v>
      </c>
      <c r="B227" s="924">
        <v>15500</v>
      </c>
      <c r="C227" s="1467" t="s">
        <v>912</v>
      </c>
      <c r="D227" s="926" t="s">
        <v>136</v>
      </c>
      <c r="E227" s="928">
        <f>E226</f>
        <v>23.29</v>
      </c>
      <c r="F227" s="926" t="s">
        <v>182</v>
      </c>
      <c r="G227" s="926" t="s">
        <v>911</v>
      </c>
      <c r="H227" s="926"/>
      <c r="I227" s="920">
        <f t="shared" si="43"/>
        <v>15523.29</v>
      </c>
      <c r="J227" s="926" t="s">
        <v>182</v>
      </c>
    </row>
    <row r="228" spans="1:19" ht="20.100000000000001" customHeight="1">
      <c r="A228" s="1456" t="s">
        <v>2037</v>
      </c>
      <c r="B228" s="924">
        <v>16500</v>
      </c>
      <c r="C228" s="1467" t="s">
        <v>912</v>
      </c>
      <c r="D228" s="926" t="s">
        <v>136</v>
      </c>
      <c r="E228" s="928">
        <f>E227</f>
        <v>23.29</v>
      </c>
      <c r="F228" s="926" t="s">
        <v>182</v>
      </c>
      <c r="G228" s="926" t="s">
        <v>911</v>
      </c>
      <c r="H228" s="926"/>
      <c r="I228" s="920">
        <f t="shared" si="43"/>
        <v>16523.29</v>
      </c>
      <c r="J228" s="926" t="s">
        <v>182</v>
      </c>
    </row>
    <row r="229" spans="1:19" ht="20.100000000000001" customHeight="1">
      <c r="A229" s="1456" t="s">
        <v>2039</v>
      </c>
      <c r="B229" s="924">
        <v>20500</v>
      </c>
      <c r="C229" s="1467" t="s">
        <v>912</v>
      </c>
      <c r="D229" s="926" t="s">
        <v>136</v>
      </c>
      <c r="E229" s="928">
        <f>E228</f>
        <v>23.29</v>
      </c>
      <c r="F229" s="926" t="s">
        <v>182</v>
      </c>
      <c r="G229" s="926" t="s">
        <v>911</v>
      </c>
      <c r="H229" s="926"/>
      <c r="I229" s="920">
        <f t="shared" si="43"/>
        <v>20523.29</v>
      </c>
      <c r="J229" s="926" t="s">
        <v>182</v>
      </c>
    </row>
    <row r="230" spans="1:19" ht="20.100000000000001" customHeight="1">
      <c r="A230" s="1456" t="s">
        <v>2038</v>
      </c>
      <c r="B230" s="924">
        <v>21500</v>
      </c>
      <c r="C230" s="1467" t="s">
        <v>912</v>
      </c>
      <c r="D230" s="926" t="s">
        <v>136</v>
      </c>
      <c r="E230" s="928">
        <f>E229</f>
        <v>23.29</v>
      </c>
      <c r="F230" s="926" t="s">
        <v>182</v>
      </c>
      <c r="G230" s="926" t="s">
        <v>911</v>
      </c>
      <c r="H230" s="926"/>
      <c r="I230" s="920">
        <f t="shared" si="43"/>
        <v>21523.29</v>
      </c>
      <c r="J230" s="926" t="s">
        <v>182</v>
      </c>
    </row>
    <row r="231" spans="1:19" ht="20.100000000000001" customHeight="1">
      <c r="A231" s="1449"/>
      <c r="B231" s="897"/>
      <c r="C231" s="1457"/>
      <c r="D231" s="897"/>
      <c r="E231" s="1450"/>
      <c r="F231" s="897"/>
      <c r="G231" s="897"/>
      <c r="H231" s="897"/>
      <c r="I231" s="897"/>
      <c r="J231" s="897"/>
    </row>
    <row r="232" spans="1:19" ht="20.100000000000001" customHeight="1">
      <c r="A232" s="923" t="s">
        <v>2041</v>
      </c>
      <c r="B232" s="924" t="s">
        <v>2040</v>
      </c>
      <c r="C232" s="1466"/>
      <c r="D232" s="924"/>
      <c r="E232" s="924"/>
      <c r="G232" s="925" t="s">
        <v>910</v>
      </c>
      <c r="H232" s="926"/>
      <c r="I232" s="924">
        <v>55</v>
      </c>
      <c r="J232" s="927" t="s">
        <v>181</v>
      </c>
    </row>
    <row r="233" spans="1:19" ht="20.100000000000001" customHeight="1">
      <c r="A233" s="1456" t="s">
        <v>2034</v>
      </c>
      <c r="B233" s="924">
        <v>7500</v>
      </c>
      <c r="C233" s="1467" t="s">
        <v>912</v>
      </c>
      <c r="D233" s="926" t="s">
        <v>136</v>
      </c>
      <c r="E233" s="928">
        <f>IF(I232=0,0,IF(I232&lt;=200,VLOOKUP(I232,บรรทุกสิบล้อ!$A$8:$C$207,2),(((I232-200)*บรรทุกสิบล้อ!$B$208)+บรรทุกสิบล้อ!$B$207)))</f>
        <v>122.4</v>
      </c>
      <c r="F233" s="926" t="s">
        <v>182</v>
      </c>
      <c r="G233" s="926" t="s">
        <v>911</v>
      </c>
      <c r="H233" s="926"/>
      <c r="I233" s="920">
        <f t="shared" ref="I233:I238" si="44">IF(B233=0,0,B233+E233)</f>
        <v>7622.4</v>
      </c>
      <c r="J233" s="926" t="s">
        <v>182</v>
      </c>
      <c r="K233" s="933" t="s">
        <v>2057</v>
      </c>
      <c r="L233" s="895">
        <f t="shared" ref="L233:L238" si="45">IF(AND(I225=0,I233=0),I241,IF(AND(I233=0,I241=0),I225,IF(AND(I225=0,I241=0),I233,IF(I225=0,MIN(I233,I241),IF(I233=0,MIN(I225,I241),IF(I241=0,MIN(I225,I233),MIN(I225,I233,I241)))))))</f>
        <v>7622.4</v>
      </c>
      <c r="M233" s="895" t="str">
        <f t="shared" ref="M233:M238" si="46">IF(L233=0,0,IF(L233=I225,$B$224,IF(L233=I233,$B$232,$B$240)))</f>
        <v>บริษัท อาคเนย์ คอนกรีต จำกัด</v>
      </c>
      <c r="Q233" s="895">
        <f t="shared" ref="Q233:Q238" si="47">IF(L233=0,0,IF(L233=I225,B225,IF(L233=I233,B233,B241)))</f>
        <v>7500</v>
      </c>
      <c r="R233" s="895">
        <f t="shared" ref="R233:R238" si="48">IF(L233=0,0,IF(L233=I225,$I$199,IF(L233=I233,$I$207,$I$215)))</f>
        <v>55</v>
      </c>
      <c r="S233" s="895">
        <f t="shared" ref="S233:S238" si="49">IF(L233=0,0,IF(L233=I225,E225,IF(L233=I233,E233,E241)))</f>
        <v>122.4</v>
      </c>
    </row>
    <row r="234" spans="1:19" ht="20.100000000000001" customHeight="1">
      <c r="A234" s="1456" t="s">
        <v>2035</v>
      </c>
      <c r="B234" s="924">
        <v>10600</v>
      </c>
      <c r="C234" s="1467" t="s">
        <v>912</v>
      </c>
      <c r="D234" s="926" t="s">
        <v>136</v>
      </c>
      <c r="E234" s="928">
        <f>E233</f>
        <v>122.4</v>
      </c>
      <c r="F234" s="926" t="s">
        <v>182</v>
      </c>
      <c r="G234" s="926" t="s">
        <v>911</v>
      </c>
      <c r="H234" s="926"/>
      <c r="I234" s="920">
        <f t="shared" si="44"/>
        <v>10722.4</v>
      </c>
      <c r="J234" s="926" t="s">
        <v>182</v>
      </c>
      <c r="K234" s="933" t="s">
        <v>2058</v>
      </c>
      <c r="L234" s="895">
        <f t="shared" si="45"/>
        <v>10722.4</v>
      </c>
      <c r="M234" s="895" t="str">
        <f t="shared" si="46"/>
        <v>บริษัท อาคเนย์ คอนกรีต จำกัด</v>
      </c>
      <c r="Q234" s="895">
        <f t="shared" si="47"/>
        <v>10600</v>
      </c>
      <c r="R234" s="895">
        <f t="shared" si="48"/>
        <v>55</v>
      </c>
      <c r="S234" s="895">
        <f t="shared" si="49"/>
        <v>122.4</v>
      </c>
    </row>
    <row r="235" spans="1:19" ht="20.100000000000001" customHeight="1">
      <c r="A235" s="1456" t="s">
        <v>2036</v>
      </c>
      <c r="B235" s="924">
        <v>0</v>
      </c>
      <c r="C235" s="1467" t="s">
        <v>912</v>
      </c>
      <c r="D235" s="926" t="s">
        <v>136</v>
      </c>
      <c r="E235" s="928">
        <f>E234</f>
        <v>122.4</v>
      </c>
      <c r="F235" s="926" t="s">
        <v>182</v>
      </c>
      <c r="G235" s="926" t="s">
        <v>911</v>
      </c>
      <c r="H235" s="926"/>
      <c r="I235" s="920">
        <f t="shared" si="44"/>
        <v>0</v>
      </c>
      <c r="J235" s="926" t="s">
        <v>182</v>
      </c>
      <c r="K235" s="933" t="s">
        <v>2059</v>
      </c>
      <c r="L235" s="895">
        <f t="shared" si="45"/>
        <v>15523.29</v>
      </c>
      <c r="M235" s="895" t="str">
        <f t="shared" si="46"/>
        <v>ห้างหุ้นส่วนจำกัด ฉัตรชัยตรังคอนกรีต</v>
      </c>
      <c r="Q235" s="895">
        <f t="shared" si="47"/>
        <v>15500</v>
      </c>
      <c r="R235" s="895">
        <f t="shared" si="48"/>
        <v>47</v>
      </c>
      <c r="S235" s="895">
        <f t="shared" si="49"/>
        <v>23.29</v>
      </c>
    </row>
    <row r="236" spans="1:19" ht="20.100000000000001" customHeight="1">
      <c r="A236" s="1456" t="s">
        <v>2037</v>
      </c>
      <c r="B236" s="924">
        <v>0</v>
      </c>
      <c r="C236" s="1467" t="s">
        <v>912</v>
      </c>
      <c r="D236" s="926" t="s">
        <v>136</v>
      </c>
      <c r="E236" s="928">
        <f>E235</f>
        <v>122.4</v>
      </c>
      <c r="F236" s="926" t="s">
        <v>182</v>
      </c>
      <c r="G236" s="926" t="s">
        <v>911</v>
      </c>
      <c r="H236" s="926"/>
      <c r="I236" s="920">
        <f t="shared" si="44"/>
        <v>0</v>
      </c>
      <c r="J236" s="926" t="s">
        <v>182</v>
      </c>
      <c r="K236" s="933" t="s">
        <v>2060</v>
      </c>
      <c r="L236" s="895">
        <f t="shared" si="45"/>
        <v>16523.29</v>
      </c>
      <c r="M236" s="895" t="str">
        <f t="shared" si="46"/>
        <v>ห้างหุ้นส่วนจำกัด ฉัตรชัยตรังคอนกรีต</v>
      </c>
      <c r="Q236" s="895">
        <f t="shared" si="47"/>
        <v>16500</v>
      </c>
      <c r="R236" s="895">
        <f t="shared" si="48"/>
        <v>47</v>
      </c>
      <c r="S236" s="895">
        <f t="shared" si="49"/>
        <v>23.29</v>
      </c>
    </row>
    <row r="237" spans="1:19" ht="20.100000000000001" customHeight="1">
      <c r="A237" s="1456" t="s">
        <v>2039</v>
      </c>
      <c r="B237" s="924">
        <v>18600</v>
      </c>
      <c r="C237" s="1467" t="s">
        <v>912</v>
      </c>
      <c r="D237" s="926" t="s">
        <v>136</v>
      </c>
      <c r="E237" s="928">
        <f>E236</f>
        <v>122.4</v>
      </c>
      <c r="F237" s="926" t="s">
        <v>182</v>
      </c>
      <c r="G237" s="926" t="s">
        <v>911</v>
      </c>
      <c r="H237" s="926"/>
      <c r="I237" s="920">
        <f t="shared" si="44"/>
        <v>18722.400000000001</v>
      </c>
      <c r="J237" s="926" t="s">
        <v>182</v>
      </c>
      <c r="K237" s="933" t="s">
        <v>2061</v>
      </c>
      <c r="L237" s="895">
        <f t="shared" si="45"/>
        <v>18722.400000000001</v>
      </c>
      <c r="M237" s="895" t="str">
        <f t="shared" si="46"/>
        <v>บริษัท อาคเนย์ คอนกรีต จำกัด</v>
      </c>
      <c r="Q237" s="895">
        <f t="shared" si="47"/>
        <v>18600</v>
      </c>
      <c r="R237" s="895">
        <f t="shared" si="48"/>
        <v>55</v>
      </c>
      <c r="S237" s="895">
        <f t="shared" si="49"/>
        <v>122.4</v>
      </c>
    </row>
    <row r="238" spans="1:19" ht="20.100000000000001" customHeight="1">
      <c r="A238" s="1456" t="s">
        <v>2038</v>
      </c>
      <c r="B238" s="924">
        <v>0</v>
      </c>
      <c r="C238" s="1467" t="s">
        <v>912</v>
      </c>
      <c r="D238" s="926" t="s">
        <v>136</v>
      </c>
      <c r="E238" s="928">
        <f>E237</f>
        <v>122.4</v>
      </c>
      <c r="F238" s="926" t="s">
        <v>182</v>
      </c>
      <c r="G238" s="926" t="s">
        <v>911</v>
      </c>
      <c r="H238" s="926"/>
      <c r="I238" s="920">
        <f t="shared" si="44"/>
        <v>0</v>
      </c>
      <c r="J238" s="926" t="s">
        <v>182</v>
      </c>
      <c r="K238" s="933" t="s">
        <v>2062</v>
      </c>
      <c r="L238" s="895">
        <f t="shared" si="45"/>
        <v>21523.29</v>
      </c>
      <c r="M238" s="895" t="str">
        <f t="shared" si="46"/>
        <v>ห้างหุ้นส่วนจำกัด ฉัตรชัยตรังคอนกรีต</v>
      </c>
      <c r="Q238" s="895">
        <f t="shared" si="47"/>
        <v>21500</v>
      </c>
      <c r="R238" s="895">
        <f t="shared" si="48"/>
        <v>47</v>
      </c>
      <c r="S238" s="895">
        <f t="shared" si="49"/>
        <v>23.29</v>
      </c>
    </row>
    <row r="239" spans="1:19" ht="20.100000000000001" customHeight="1">
      <c r="K239" s="916"/>
    </row>
    <row r="240" spans="1:19" ht="20.100000000000001" customHeight="1">
      <c r="A240" s="923" t="s">
        <v>2042</v>
      </c>
      <c r="B240" s="924" t="s">
        <v>2028</v>
      </c>
      <c r="C240" s="1466"/>
      <c r="D240" s="924"/>
      <c r="E240" s="924"/>
      <c r="G240" s="925" t="s">
        <v>910</v>
      </c>
      <c r="H240" s="926"/>
      <c r="I240" s="924">
        <v>0</v>
      </c>
      <c r="J240" s="927" t="s">
        <v>181</v>
      </c>
      <c r="K240" s="916"/>
    </row>
    <row r="241" spans="1:19" ht="20.100000000000001" customHeight="1">
      <c r="A241" s="1456" t="s">
        <v>2034</v>
      </c>
      <c r="B241" s="924">
        <v>0</v>
      </c>
      <c r="C241" s="1467" t="s">
        <v>912</v>
      </c>
      <c r="D241" s="926" t="s">
        <v>136</v>
      </c>
      <c r="E241" s="928">
        <f>IF(I240=0,0,IF(I240&lt;=200,VLOOKUP(I240,บรรทุกสิบล้อ!$A$8:$C$207,2),(((I240-200)*บรรทุกสิบล้อ!$B$208)+บรรทุกสิบล้อ!$B$207)))</f>
        <v>0</v>
      </c>
      <c r="F241" s="926" t="s">
        <v>182</v>
      </c>
      <c r="G241" s="926" t="s">
        <v>911</v>
      </c>
      <c r="H241" s="926"/>
      <c r="I241" s="920">
        <f t="shared" ref="I241:I246" si="50">IF(B241=0,0,B241+E241)</f>
        <v>0</v>
      </c>
      <c r="J241" s="926" t="s">
        <v>182</v>
      </c>
      <c r="K241" s="916"/>
    </row>
    <row r="242" spans="1:19" ht="20.100000000000001" customHeight="1">
      <c r="A242" s="1456" t="s">
        <v>2035</v>
      </c>
      <c r="B242" s="924">
        <v>0</v>
      </c>
      <c r="C242" s="1467" t="s">
        <v>912</v>
      </c>
      <c r="D242" s="926" t="s">
        <v>136</v>
      </c>
      <c r="E242" s="928">
        <f>E241</f>
        <v>0</v>
      </c>
      <c r="F242" s="926" t="s">
        <v>182</v>
      </c>
      <c r="G242" s="926" t="s">
        <v>911</v>
      </c>
      <c r="H242" s="926"/>
      <c r="I242" s="920">
        <f t="shared" si="50"/>
        <v>0</v>
      </c>
      <c r="J242" s="926" t="s">
        <v>182</v>
      </c>
      <c r="K242" s="916"/>
    </row>
    <row r="243" spans="1:19" ht="20.100000000000001" customHeight="1">
      <c r="A243" s="1456" t="s">
        <v>2036</v>
      </c>
      <c r="B243" s="924">
        <v>0</v>
      </c>
      <c r="C243" s="1467" t="s">
        <v>912</v>
      </c>
      <c r="D243" s="926" t="s">
        <v>136</v>
      </c>
      <c r="E243" s="928">
        <f>E242</f>
        <v>0</v>
      </c>
      <c r="F243" s="926" t="s">
        <v>182</v>
      </c>
      <c r="G243" s="926" t="s">
        <v>911</v>
      </c>
      <c r="H243" s="926"/>
      <c r="I243" s="920">
        <f t="shared" si="50"/>
        <v>0</v>
      </c>
      <c r="J243" s="926" t="s">
        <v>182</v>
      </c>
      <c r="K243" s="916"/>
    </row>
    <row r="244" spans="1:19" ht="20.100000000000001" customHeight="1">
      <c r="A244" s="1456" t="s">
        <v>2037</v>
      </c>
      <c r="B244" s="924">
        <v>0</v>
      </c>
      <c r="C244" s="1467" t="s">
        <v>912</v>
      </c>
      <c r="D244" s="926" t="s">
        <v>136</v>
      </c>
      <c r="E244" s="928">
        <f>E243</f>
        <v>0</v>
      </c>
      <c r="F244" s="926" t="s">
        <v>182</v>
      </c>
      <c r="G244" s="926" t="s">
        <v>911</v>
      </c>
      <c r="H244" s="926"/>
      <c r="I244" s="920">
        <f t="shared" si="50"/>
        <v>0</v>
      </c>
      <c r="J244" s="926" t="s">
        <v>182</v>
      </c>
      <c r="K244" s="916"/>
    </row>
    <row r="245" spans="1:19" ht="20.100000000000001" customHeight="1">
      <c r="A245" s="1456" t="s">
        <v>2039</v>
      </c>
      <c r="B245" s="924">
        <v>0</v>
      </c>
      <c r="C245" s="1467" t="s">
        <v>912</v>
      </c>
      <c r="D245" s="926" t="s">
        <v>136</v>
      </c>
      <c r="E245" s="928">
        <f>E244</f>
        <v>0</v>
      </c>
      <c r="F245" s="926" t="s">
        <v>182</v>
      </c>
      <c r="G245" s="926" t="s">
        <v>911</v>
      </c>
      <c r="H245" s="926"/>
      <c r="I245" s="920">
        <f t="shared" si="50"/>
        <v>0</v>
      </c>
      <c r="J245" s="926" t="s">
        <v>182</v>
      </c>
      <c r="K245" s="916"/>
    </row>
    <row r="246" spans="1:19" ht="20.100000000000001" customHeight="1">
      <c r="A246" s="1456" t="s">
        <v>2038</v>
      </c>
      <c r="B246" s="924">
        <v>0</v>
      </c>
      <c r="C246" s="1467" t="s">
        <v>912</v>
      </c>
      <c r="D246" s="926" t="s">
        <v>136</v>
      </c>
      <c r="E246" s="928">
        <f>E245</f>
        <v>0</v>
      </c>
      <c r="F246" s="926" t="s">
        <v>182</v>
      </c>
      <c r="G246" s="926" t="s">
        <v>911</v>
      </c>
      <c r="H246" s="926"/>
      <c r="I246" s="920">
        <f t="shared" si="50"/>
        <v>0</v>
      </c>
      <c r="J246" s="926" t="s">
        <v>182</v>
      </c>
      <c r="K246" s="916"/>
    </row>
    <row r="247" spans="1:19" ht="20.100000000000001" customHeight="1">
      <c r="B247" s="897"/>
      <c r="E247" s="897"/>
      <c r="I247" s="897"/>
    </row>
    <row r="248" spans="1:19" ht="20.100000000000001" customHeight="1">
      <c r="B248" s="897"/>
      <c r="E248" s="897"/>
      <c r="I248" s="897"/>
    </row>
    <row r="249" spans="1:19" ht="20.100000000000001" customHeight="1">
      <c r="B249" s="897"/>
      <c r="E249" s="897"/>
      <c r="I249" s="897"/>
    </row>
    <row r="250" spans="1:19" ht="20.100000000000001" customHeight="1">
      <c r="A250" s="900" t="s">
        <v>2043</v>
      </c>
      <c r="B250" s="901"/>
      <c r="C250" s="1460"/>
    </row>
    <row r="251" spans="1:19" ht="20.100000000000001" customHeight="1">
      <c r="A251" s="923" t="s">
        <v>2044</v>
      </c>
      <c r="B251" s="924"/>
      <c r="C251" s="1466"/>
      <c r="D251" s="924"/>
      <c r="E251" s="924"/>
      <c r="G251" s="925" t="s">
        <v>910</v>
      </c>
      <c r="H251" s="926"/>
      <c r="I251" s="924">
        <f>G11</f>
        <v>20</v>
      </c>
      <c r="J251" s="927" t="s">
        <v>181</v>
      </c>
    </row>
    <row r="252" spans="1:19" ht="20.100000000000001" customHeight="1">
      <c r="A252" s="926" t="s">
        <v>1243</v>
      </c>
      <c r="B252" s="926"/>
    </row>
    <row r="253" spans="1:19" ht="20.100000000000001" customHeight="1">
      <c r="A253" s="926" t="s">
        <v>129</v>
      </c>
      <c r="B253" s="924">
        <v>2816.2</v>
      </c>
      <c r="C253" s="1467" t="s">
        <v>182</v>
      </c>
      <c r="D253" s="926" t="s">
        <v>136</v>
      </c>
      <c r="E253" s="920">
        <f>IF(I251=0,0,IF(I251&lt;=200,VLOOKUP(I251,'บรรทุกสิบล้อ+ลากพ่วง'!$A$9:$C$208,2),(((I251-200)*'บรรทุกสิบล้อ+ลากพ่วง'!$B$209)+'บรรทุกสิบล้อ+ลากพ่วง'!$B$208)))</f>
        <v>27.61</v>
      </c>
      <c r="F253" s="926" t="s">
        <v>182</v>
      </c>
      <c r="G253" s="926" t="s">
        <v>911</v>
      </c>
      <c r="H253" s="926"/>
      <c r="I253" s="920">
        <f>IF(B253=0,0,B253+E253)</f>
        <v>2843.81</v>
      </c>
      <c r="J253" s="926" t="s">
        <v>182</v>
      </c>
      <c r="K253" s="895" t="s">
        <v>187</v>
      </c>
      <c r="L253" s="895">
        <f>IF(B253=0,I259,IF(B259=0,I253,MIN(I253,I259)))</f>
        <v>2843.81</v>
      </c>
      <c r="M253" s="895" t="str">
        <f>IF(L253=I253,"สำนักงานพาณิชย์ จังหวัดพัทลุง",IF(L253=I259,"ห้างหุ้นส่วนจำกัด มังกรทองวัสดุก่อสร้าง",0))</f>
        <v>สำนักงานพาณิชย์ จังหวัดพัทลุง</v>
      </c>
      <c r="Q253" s="895">
        <f>IF(L253=I253,B253,IF(L253=I259,B259,0))</f>
        <v>2816.2</v>
      </c>
      <c r="R253" s="895">
        <f>IF(L253=I253,$I$251,IF(L253=I259,$I$257,0))</f>
        <v>20</v>
      </c>
      <c r="S253" s="895">
        <f>IF(L253=I253,$E$253,IF(L253=I259,$E$259,0))</f>
        <v>27.61</v>
      </c>
    </row>
    <row r="254" spans="1:19" ht="20.100000000000001" customHeight="1">
      <c r="A254" s="926" t="s">
        <v>1244</v>
      </c>
      <c r="B254" s="926"/>
    </row>
    <row r="255" spans="1:19" ht="20.100000000000001" customHeight="1">
      <c r="A255" s="926" t="s">
        <v>129</v>
      </c>
      <c r="B255" s="924">
        <v>2623.05</v>
      </c>
      <c r="C255" s="1467" t="s">
        <v>182</v>
      </c>
      <c r="D255" s="926" t="s">
        <v>136</v>
      </c>
      <c r="E255" s="920">
        <f>IF(I251=0,0,IF(I251&lt;=200,VLOOKUP(I251,'บรรทุกสิบล้อ+ลากพ่วง'!$A$9:$C$208,2),(((I251-200)*'บรรทุกสิบล้อ+ลากพ่วง'!$B$209)+'บรรทุกสิบล้อ+ลากพ่วง'!$B$208)))</f>
        <v>27.61</v>
      </c>
      <c r="F255" s="926" t="s">
        <v>182</v>
      </c>
      <c r="G255" s="926" t="s">
        <v>911</v>
      </c>
      <c r="H255" s="926"/>
      <c r="I255" s="920">
        <f>IF(B255=0,0,B255+E255)</f>
        <v>2650.6600000000003</v>
      </c>
      <c r="J255" s="926" t="s">
        <v>182</v>
      </c>
      <c r="K255" s="895" t="s">
        <v>188</v>
      </c>
      <c r="L255" s="895">
        <f>IF(B255=0,I261,IF(B261=0,I255,MIN(I255,I261)))</f>
        <v>2650.6600000000003</v>
      </c>
      <c r="M255" s="895" t="str">
        <f>IF(L255=I255,"สำนักงานพาณิชย์ จังหวัดพัทลุง",IF(L255=I261,"ห้างหุ้นส่วนจำกัด มังกรทองวัสดุก่อสร้าง",0))</f>
        <v>สำนักงานพาณิชย์ จังหวัดพัทลุง</v>
      </c>
      <c r="Q255" s="895">
        <f>IF(L255=I255,B255,IF(L255=I261,B261,0))</f>
        <v>2623.05</v>
      </c>
      <c r="R255" s="895">
        <f>IF(L255=I255,$I$251,IF(L255=I261,$I$257,0))</f>
        <v>20</v>
      </c>
      <c r="S255" s="895">
        <f>IF(L255=I255,$E$253,IF(L255=I261,$E$259,0))</f>
        <v>27.61</v>
      </c>
    </row>
    <row r="256" spans="1:19" ht="20.100000000000001" customHeight="1">
      <c r="B256" s="897"/>
      <c r="E256" s="897"/>
      <c r="I256" s="897"/>
    </row>
    <row r="257" spans="1:19" ht="20.100000000000001" customHeight="1">
      <c r="A257" s="923" t="s">
        <v>2045</v>
      </c>
      <c r="B257" s="924"/>
      <c r="C257" s="1466"/>
      <c r="D257" s="924"/>
      <c r="E257" s="924"/>
      <c r="G257" s="925" t="s">
        <v>910</v>
      </c>
      <c r="H257" s="926"/>
      <c r="I257" s="924">
        <v>33</v>
      </c>
      <c r="J257" s="927" t="s">
        <v>181</v>
      </c>
    </row>
    <row r="258" spans="1:19" ht="20.100000000000001" customHeight="1">
      <c r="A258" s="926" t="s">
        <v>1243</v>
      </c>
      <c r="B258" s="926"/>
    </row>
    <row r="259" spans="1:19" ht="20.100000000000001" customHeight="1">
      <c r="A259" s="926" t="s">
        <v>129</v>
      </c>
      <c r="B259" s="924">
        <v>3000</v>
      </c>
      <c r="C259" s="1467" t="s">
        <v>182</v>
      </c>
      <c r="D259" s="926" t="s">
        <v>136</v>
      </c>
      <c r="E259" s="920">
        <f>IF(I257=0,0,IF(I257&lt;=200,VLOOKUP(I257,'บรรทุกสิบล้อ+ลากพ่วง'!$A$9:$C$208,2),(((I257-200)*'บรรทุกสิบล้อ+ลากพ่วง'!$B$209)+'บรรทุกสิบล้อ+ลากพ่วง'!$B$208)))</f>
        <v>45.16</v>
      </c>
      <c r="F259" s="926" t="s">
        <v>182</v>
      </c>
      <c r="G259" s="926" t="s">
        <v>911</v>
      </c>
      <c r="H259" s="926"/>
      <c r="I259" s="920">
        <f>IF(B259=0,0,B259+E259)</f>
        <v>3045.16</v>
      </c>
      <c r="J259" s="926" t="s">
        <v>182</v>
      </c>
    </row>
    <row r="260" spans="1:19" ht="20.100000000000001" customHeight="1">
      <c r="A260" s="926" t="s">
        <v>1244</v>
      </c>
      <c r="B260" s="926"/>
    </row>
    <row r="261" spans="1:19" ht="20.100000000000001" customHeight="1">
      <c r="A261" s="926" t="s">
        <v>129</v>
      </c>
      <c r="B261" s="924">
        <v>0</v>
      </c>
      <c r="C261" s="1467" t="s">
        <v>182</v>
      </c>
      <c r="D261" s="926" t="s">
        <v>136</v>
      </c>
      <c r="E261" s="920">
        <f>IF(I257=0,0,IF(I257&lt;=200,VLOOKUP(I257,'บรรทุกสิบล้อ+ลากพ่วง'!$A$9:$C$208,2),(((I257-200)*'บรรทุกสิบล้อ+ลากพ่วง'!$B$209)+'บรรทุกสิบล้อ+ลากพ่วง'!$B$208)))</f>
        <v>45.16</v>
      </c>
      <c r="F261" s="926" t="s">
        <v>182</v>
      </c>
      <c r="G261" s="926" t="s">
        <v>911</v>
      </c>
      <c r="H261" s="926"/>
      <c r="I261" s="920">
        <f>IF(B261=0,0,B261+E261)</f>
        <v>0</v>
      </c>
      <c r="J261" s="926" t="s">
        <v>182</v>
      </c>
    </row>
    <row r="262" spans="1:19" ht="20.100000000000001" customHeight="1">
      <c r="B262" s="897"/>
      <c r="E262" s="897"/>
      <c r="I262" s="897"/>
    </row>
    <row r="263" spans="1:19" ht="20.100000000000001" customHeight="1">
      <c r="A263" s="900" t="s">
        <v>2046</v>
      </c>
      <c r="B263" s="901"/>
      <c r="C263" s="1460"/>
    </row>
    <row r="264" spans="1:19" ht="20.100000000000001" customHeight="1">
      <c r="A264" s="923" t="s">
        <v>2047</v>
      </c>
      <c r="B264" s="924"/>
      <c r="C264" s="1466"/>
      <c r="D264" s="924"/>
      <c r="E264" s="924"/>
      <c r="G264" s="925" t="s">
        <v>910</v>
      </c>
      <c r="H264" s="926"/>
      <c r="I264" s="924">
        <f>G11</f>
        <v>20</v>
      </c>
      <c r="J264" s="927" t="s">
        <v>181</v>
      </c>
    </row>
    <row r="265" spans="1:19" ht="20.100000000000001" customHeight="1">
      <c r="A265" s="933" t="s">
        <v>1837</v>
      </c>
      <c r="B265" s="924">
        <v>2004.67</v>
      </c>
      <c r="C265" s="1467" t="s">
        <v>183</v>
      </c>
      <c r="D265" s="926" t="s">
        <v>136</v>
      </c>
      <c r="E265" s="928">
        <f>IF(I264=0,0,IF(I264&lt;=200,VLOOKUP(I264,บรรทุกสิบล้อ!$A$8:$C$207,3),(((I264-200)*บรรทุกสิบล้อ!$C$208)+บรรทุกสิบล้อ!$C$207)))</f>
        <v>63.44</v>
      </c>
      <c r="F265" s="926" t="s">
        <v>183</v>
      </c>
      <c r="G265" s="926" t="s">
        <v>911</v>
      </c>
      <c r="H265" s="926"/>
      <c r="I265" s="920">
        <f>IF(B265=0,0,B265+E265)</f>
        <v>2068.11</v>
      </c>
      <c r="J265" s="926" t="s">
        <v>183</v>
      </c>
      <c r="K265" s="916" t="s">
        <v>1837</v>
      </c>
      <c r="L265" s="895">
        <f>IF(B265=0,I274,IF(B274=0,I265,MIN(I265,I274)))</f>
        <v>2068.11</v>
      </c>
      <c r="M265" s="895" t="str">
        <f t="shared" ref="M265:M272" si="51">IF(L265=I265,"สำนักงานพาณิชย์ จังหวัดพัทลุง",IF(L265=I274,"ห้างหุ้นส่วนจำกัด",0))</f>
        <v>สำนักงานพาณิชย์ จังหวัดพัทลุง</v>
      </c>
      <c r="Q265" s="895">
        <f t="shared" ref="Q265:Q272" si="52">IF(L265=I265,B265,IF(L265=I274,B274,0))</f>
        <v>2004.67</v>
      </c>
      <c r="R265" s="895">
        <f t="shared" ref="R265:R272" si="53">IF(L265=I265,$I$264,IF(L265=I274,$I$273,0))</f>
        <v>20</v>
      </c>
      <c r="S265" s="895">
        <f t="shared" ref="S265:S272" si="54">IF(L265=I265,$E$265,IF(L265=I274,$E$274,0))</f>
        <v>63.44</v>
      </c>
    </row>
    <row r="266" spans="1:19" ht="20.100000000000001" customHeight="1">
      <c r="A266" s="933" t="s">
        <v>1838</v>
      </c>
      <c r="B266" s="924">
        <v>2054.6799999999998</v>
      </c>
      <c r="C266" s="1467" t="s">
        <v>183</v>
      </c>
      <c r="D266" s="926" t="s">
        <v>136</v>
      </c>
      <c r="E266" s="928">
        <f t="shared" ref="E266:E272" si="55">E265</f>
        <v>63.44</v>
      </c>
      <c r="F266" s="926" t="s">
        <v>183</v>
      </c>
      <c r="G266" s="926" t="s">
        <v>911</v>
      </c>
      <c r="H266" s="926"/>
      <c r="I266" s="920">
        <f t="shared" ref="I266:I272" si="56">IF(B266=0,0,B266+E266)</f>
        <v>2118.12</v>
      </c>
      <c r="J266" s="926" t="s">
        <v>183</v>
      </c>
      <c r="K266" s="916" t="s">
        <v>1838</v>
      </c>
      <c r="L266" s="895">
        <f t="shared" ref="L266:L272" si="57">IF(B266=0,I275,IF(B275=0,I266,MIN(I266,I275)))</f>
        <v>2118.12</v>
      </c>
      <c r="M266" s="895" t="str">
        <f t="shared" si="51"/>
        <v>สำนักงานพาณิชย์ จังหวัดพัทลุง</v>
      </c>
      <c r="Q266" s="895">
        <f t="shared" si="52"/>
        <v>2054.6799999999998</v>
      </c>
      <c r="R266" s="895">
        <f t="shared" si="53"/>
        <v>20</v>
      </c>
      <c r="S266" s="895">
        <f t="shared" si="54"/>
        <v>63.44</v>
      </c>
    </row>
    <row r="267" spans="1:19" ht="20.100000000000001" customHeight="1">
      <c r="A267" s="933" t="s">
        <v>1839</v>
      </c>
      <c r="B267" s="924">
        <v>2105.14</v>
      </c>
      <c r="C267" s="1467" t="s">
        <v>183</v>
      </c>
      <c r="D267" s="926" t="s">
        <v>136</v>
      </c>
      <c r="E267" s="928">
        <f t="shared" si="55"/>
        <v>63.44</v>
      </c>
      <c r="F267" s="926" t="s">
        <v>183</v>
      </c>
      <c r="G267" s="926" t="s">
        <v>911</v>
      </c>
      <c r="H267" s="926"/>
      <c r="I267" s="920">
        <f t="shared" si="56"/>
        <v>2168.58</v>
      </c>
      <c r="J267" s="926" t="s">
        <v>183</v>
      </c>
      <c r="K267" s="916" t="s">
        <v>1839</v>
      </c>
      <c r="L267" s="895">
        <f t="shared" si="57"/>
        <v>2168.58</v>
      </c>
      <c r="M267" s="895" t="str">
        <f t="shared" si="51"/>
        <v>สำนักงานพาณิชย์ จังหวัดพัทลุง</v>
      </c>
      <c r="Q267" s="895">
        <f t="shared" si="52"/>
        <v>2105.14</v>
      </c>
      <c r="R267" s="895">
        <f t="shared" si="53"/>
        <v>20</v>
      </c>
      <c r="S267" s="895">
        <f t="shared" si="54"/>
        <v>63.44</v>
      </c>
    </row>
    <row r="268" spans="1:19" ht="20.100000000000001" customHeight="1">
      <c r="A268" s="933" t="s">
        <v>1840</v>
      </c>
      <c r="B268" s="924">
        <v>2155.14</v>
      </c>
      <c r="C268" s="1467" t="s">
        <v>183</v>
      </c>
      <c r="D268" s="926" t="s">
        <v>136</v>
      </c>
      <c r="E268" s="928">
        <f t="shared" si="55"/>
        <v>63.44</v>
      </c>
      <c r="F268" s="926" t="s">
        <v>183</v>
      </c>
      <c r="G268" s="926" t="s">
        <v>911</v>
      </c>
      <c r="H268" s="926"/>
      <c r="I268" s="920">
        <f t="shared" si="56"/>
        <v>2218.58</v>
      </c>
      <c r="J268" s="926" t="s">
        <v>183</v>
      </c>
      <c r="K268" s="916" t="s">
        <v>1840</v>
      </c>
      <c r="L268" s="895">
        <f t="shared" si="57"/>
        <v>2218.58</v>
      </c>
      <c r="M268" s="895" t="str">
        <f t="shared" si="51"/>
        <v>สำนักงานพาณิชย์ จังหวัดพัทลุง</v>
      </c>
      <c r="Q268" s="895">
        <f t="shared" si="52"/>
        <v>2155.14</v>
      </c>
      <c r="R268" s="895">
        <f t="shared" si="53"/>
        <v>20</v>
      </c>
      <c r="S268" s="895">
        <f t="shared" si="54"/>
        <v>63.44</v>
      </c>
    </row>
    <row r="269" spans="1:19" ht="20.100000000000001" customHeight="1">
      <c r="A269" s="933" t="s">
        <v>1841</v>
      </c>
      <c r="B269" s="924">
        <v>2246.2600000000002</v>
      </c>
      <c r="C269" s="1467" t="s">
        <v>183</v>
      </c>
      <c r="D269" s="926" t="s">
        <v>136</v>
      </c>
      <c r="E269" s="928">
        <f t="shared" si="55"/>
        <v>63.44</v>
      </c>
      <c r="F269" s="926" t="s">
        <v>183</v>
      </c>
      <c r="G269" s="926" t="s">
        <v>911</v>
      </c>
      <c r="H269" s="926"/>
      <c r="I269" s="920">
        <f t="shared" si="56"/>
        <v>2309.7000000000003</v>
      </c>
      <c r="J269" s="926" t="s">
        <v>183</v>
      </c>
      <c r="K269" s="916" t="s">
        <v>1841</v>
      </c>
      <c r="L269" s="895">
        <f t="shared" si="57"/>
        <v>2309.7000000000003</v>
      </c>
      <c r="M269" s="895" t="str">
        <f t="shared" si="51"/>
        <v>สำนักงานพาณิชย์ จังหวัดพัทลุง</v>
      </c>
      <c r="Q269" s="895">
        <f t="shared" si="52"/>
        <v>2246.2600000000002</v>
      </c>
      <c r="R269" s="895">
        <f t="shared" si="53"/>
        <v>20</v>
      </c>
      <c r="S269" s="895">
        <f t="shared" si="54"/>
        <v>63.44</v>
      </c>
    </row>
    <row r="270" spans="1:19" ht="20.100000000000001" customHeight="1">
      <c r="A270" s="933" t="s">
        <v>1842</v>
      </c>
      <c r="B270" s="924">
        <v>2314.4899999999998</v>
      </c>
      <c r="C270" s="1467" t="s">
        <v>183</v>
      </c>
      <c r="D270" s="926" t="s">
        <v>136</v>
      </c>
      <c r="E270" s="928">
        <f t="shared" si="55"/>
        <v>63.44</v>
      </c>
      <c r="F270" s="926" t="s">
        <v>183</v>
      </c>
      <c r="G270" s="926" t="s">
        <v>911</v>
      </c>
      <c r="H270" s="926"/>
      <c r="I270" s="920">
        <f t="shared" si="56"/>
        <v>2377.9299999999998</v>
      </c>
      <c r="J270" s="926" t="s">
        <v>183</v>
      </c>
      <c r="K270" s="916" t="s">
        <v>1842</v>
      </c>
      <c r="L270" s="895">
        <f t="shared" si="57"/>
        <v>2377.9299999999998</v>
      </c>
      <c r="M270" s="895" t="str">
        <f t="shared" si="51"/>
        <v>สำนักงานพาณิชย์ จังหวัดพัทลุง</v>
      </c>
      <c r="Q270" s="895">
        <f t="shared" si="52"/>
        <v>2314.4899999999998</v>
      </c>
      <c r="R270" s="895">
        <f t="shared" si="53"/>
        <v>20</v>
      </c>
      <c r="S270" s="895">
        <f t="shared" si="54"/>
        <v>63.44</v>
      </c>
    </row>
    <row r="271" spans="1:19" ht="20.100000000000001" customHeight="1">
      <c r="A271" s="933" t="s">
        <v>1843</v>
      </c>
      <c r="B271" s="924">
        <v>2381.31</v>
      </c>
      <c r="C271" s="1467" t="s">
        <v>183</v>
      </c>
      <c r="D271" s="926" t="s">
        <v>136</v>
      </c>
      <c r="E271" s="928">
        <f t="shared" si="55"/>
        <v>63.44</v>
      </c>
      <c r="F271" s="926" t="s">
        <v>183</v>
      </c>
      <c r="G271" s="926" t="s">
        <v>911</v>
      </c>
      <c r="H271" s="926"/>
      <c r="I271" s="920">
        <f t="shared" si="56"/>
        <v>2444.75</v>
      </c>
      <c r="J271" s="926" t="s">
        <v>183</v>
      </c>
      <c r="K271" s="916" t="s">
        <v>1843</v>
      </c>
      <c r="L271" s="895">
        <f t="shared" si="57"/>
        <v>2444.75</v>
      </c>
      <c r="M271" s="895" t="str">
        <f t="shared" si="51"/>
        <v>สำนักงานพาณิชย์ จังหวัดพัทลุง</v>
      </c>
      <c r="Q271" s="895">
        <f t="shared" si="52"/>
        <v>2381.31</v>
      </c>
      <c r="R271" s="895">
        <f t="shared" si="53"/>
        <v>20</v>
      </c>
      <c r="S271" s="895">
        <f t="shared" si="54"/>
        <v>63.44</v>
      </c>
    </row>
    <row r="272" spans="1:19" ht="20.100000000000001" customHeight="1">
      <c r="A272" s="933" t="s">
        <v>1844</v>
      </c>
      <c r="B272" s="924">
        <v>2456.54</v>
      </c>
      <c r="C272" s="1467" t="s">
        <v>183</v>
      </c>
      <c r="D272" s="926" t="s">
        <v>136</v>
      </c>
      <c r="E272" s="928">
        <f t="shared" si="55"/>
        <v>63.44</v>
      </c>
      <c r="F272" s="926" t="s">
        <v>183</v>
      </c>
      <c r="G272" s="926" t="s">
        <v>911</v>
      </c>
      <c r="H272" s="926"/>
      <c r="I272" s="920">
        <f t="shared" si="56"/>
        <v>2519.98</v>
      </c>
      <c r="J272" s="926" t="s">
        <v>183</v>
      </c>
      <c r="K272" s="916" t="s">
        <v>1844</v>
      </c>
      <c r="L272" s="895">
        <f t="shared" si="57"/>
        <v>2519.98</v>
      </c>
      <c r="M272" s="895" t="str">
        <f t="shared" si="51"/>
        <v>สำนักงานพาณิชย์ จังหวัดพัทลุง</v>
      </c>
      <c r="Q272" s="895">
        <f t="shared" si="52"/>
        <v>2456.54</v>
      </c>
      <c r="R272" s="895">
        <f t="shared" si="53"/>
        <v>20</v>
      </c>
      <c r="S272" s="895">
        <f t="shared" si="54"/>
        <v>63.44</v>
      </c>
    </row>
    <row r="273" spans="1:13" ht="20.100000000000001" customHeight="1">
      <c r="A273" s="923" t="s">
        <v>2048</v>
      </c>
      <c r="B273" s="924"/>
      <c r="C273" s="1466"/>
      <c r="D273" s="924"/>
      <c r="E273" s="924"/>
      <c r="G273" s="925" t="s">
        <v>910</v>
      </c>
      <c r="H273" s="926"/>
      <c r="I273" s="924">
        <v>0</v>
      </c>
      <c r="J273" s="927" t="s">
        <v>181</v>
      </c>
    </row>
    <row r="274" spans="1:13" ht="20.100000000000001" customHeight="1">
      <c r="A274" s="933" t="s">
        <v>1837</v>
      </c>
      <c r="B274" s="924">
        <v>0</v>
      </c>
      <c r="C274" s="1467" t="s">
        <v>183</v>
      </c>
      <c r="D274" s="926" t="s">
        <v>136</v>
      </c>
      <c r="E274" s="928">
        <f>IF(I273=0,0,IF(I273&lt;=200,VLOOKUP(I273,บรรทุกสิบล้อ!$A$8:$C$207,3),(((I273-200)*บรรทุกสิบล้อ!$C$208)+บรรทุกสิบล้อ!$C$207)))</f>
        <v>0</v>
      </c>
      <c r="F274" s="926" t="s">
        <v>183</v>
      </c>
      <c r="G274" s="926" t="s">
        <v>911</v>
      </c>
      <c r="H274" s="926"/>
      <c r="I274" s="920">
        <f>IF(B274=0,0,B274+E274)</f>
        <v>0</v>
      </c>
      <c r="J274" s="926" t="s">
        <v>183</v>
      </c>
    </row>
    <row r="275" spans="1:13" ht="20.100000000000001" customHeight="1">
      <c r="A275" s="933" t="s">
        <v>1838</v>
      </c>
      <c r="B275" s="924">
        <v>0</v>
      </c>
      <c r="C275" s="1467" t="s">
        <v>183</v>
      </c>
      <c r="D275" s="926" t="s">
        <v>136</v>
      </c>
      <c r="E275" s="928">
        <f t="shared" ref="E275:E281" si="58">E274</f>
        <v>0</v>
      </c>
      <c r="F275" s="926" t="s">
        <v>183</v>
      </c>
      <c r="G275" s="926" t="s">
        <v>911</v>
      </c>
      <c r="H275" s="926"/>
      <c r="I275" s="920">
        <f t="shared" ref="I275:I281" si="59">IF(B275=0,0,B275+E275)</f>
        <v>0</v>
      </c>
      <c r="J275" s="926" t="s">
        <v>183</v>
      </c>
    </row>
    <row r="276" spans="1:13" ht="20.100000000000001" customHeight="1">
      <c r="A276" s="933" t="s">
        <v>1839</v>
      </c>
      <c r="B276" s="924">
        <v>0</v>
      </c>
      <c r="C276" s="1467" t="s">
        <v>183</v>
      </c>
      <c r="D276" s="926" t="s">
        <v>136</v>
      </c>
      <c r="E276" s="928">
        <f t="shared" si="58"/>
        <v>0</v>
      </c>
      <c r="F276" s="926" t="s">
        <v>183</v>
      </c>
      <c r="G276" s="926" t="s">
        <v>911</v>
      </c>
      <c r="H276" s="926"/>
      <c r="I276" s="920">
        <f t="shared" si="59"/>
        <v>0</v>
      </c>
      <c r="J276" s="926" t="s">
        <v>183</v>
      </c>
    </row>
    <row r="277" spans="1:13" ht="20.100000000000001" customHeight="1">
      <c r="A277" s="933" t="s">
        <v>1840</v>
      </c>
      <c r="B277" s="924">
        <v>0</v>
      </c>
      <c r="C277" s="1467" t="s">
        <v>183</v>
      </c>
      <c r="D277" s="926" t="s">
        <v>136</v>
      </c>
      <c r="E277" s="928">
        <f t="shared" si="58"/>
        <v>0</v>
      </c>
      <c r="F277" s="926" t="s">
        <v>183</v>
      </c>
      <c r="G277" s="926" t="s">
        <v>911</v>
      </c>
      <c r="H277" s="926"/>
      <c r="I277" s="920">
        <f t="shared" si="59"/>
        <v>0</v>
      </c>
      <c r="J277" s="926" t="s">
        <v>183</v>
      </c>
    </row>
    <row r="278" spans="1:13" ht="20.100000000000001" customHeight="1">
      <c r="A278" s="933" t="s">
        <v>1841</v>
      </c>
      <c r="B278" s="924">
        <v>0</v>
      </c>
      <c r="C278" s="1467" t="s">
        <v>183</v>
      </c>
      <c r="D278" s="926" t="s">
        <v>136</v>
      </c>
      <c r="E278" s="928">
        <f t="shared" si="58"/>
        <v>0</v>
      </c>
      <c r="F278" s="926" t="s">
        <v>183</v>
      </c>
      <c r="G278" s="926" t="s">
        <v>911</v>
      </c>
      <c r="H278" s="926"/>
      <c r="I278" s="920">
        <f t="shared" si="59"/>
        <v>0</v>
      </c>
      <c r="J278" s="926" t="s">
        <v>183</v>
      </c>
    </row>
    <row r="279" spans="1:13" ht="20.100000000000001" customHeight="1">
      <c r="A279" s="933" t="s">
        <v>1842</v>
      </c>
      <c r="B279" s="924">
        <v>0</v>
      </c>
      <c r="C279" s="1467" t="s">
        <v>183</v>
      </c>
      <c r="D279" s="926" t="s">
        <v>136</v>
      </c>
      <c r="E279" s="928">
        <f t="shared" si="58"/>
        <v>0</v>
      </c>
      <c r="F279" s="926" t="s">
        <v>183</v>
      </c>
      <c r="G279" s="926" t="s">
        <v>911</v>
      </c>
      <c r="H279" s="926"/>
      <c r="I279" s="920">
        <f t="shared" si="59"/>
        <v>0</v>
      </c>
      <c r="J279" s="926" t="s">
        <v>183</v>
      </c>
    </row>
    <row r="280" spans="1:13" ht="20.100000000000001" customHeight="1">
      <c r="A280" s="933" t="s">
        <v>1843</v>
      </c>
      <c r="B280" s="924">
        <v>0</v>
      </c>
      <c r="C280" s="1467" t="s">
        <v>183</v>
      </c>
      <c r="D280" s="926" t="s">
        <v>136</v>
      </c>
      <c r="E280" s="928">
        <f t="shared" si="58"/>
        <v>0</v>
      </c>
      <c r="F280" s="926" t="s">
        <v>183</v>
      </c>
      <c r="G280" s="926" t="s">
        <v>911</v>
      </c>
      <c r="H280" s="926"/>
      <c r="I280" s="920">
        <f t="shared" si="59"/>
        <v>0</v>
      </c>
      <c r="J280" s="926" t="s">
        <v>183</v>
      </c>
    </row>
    <row r="281" spans="1:13" ht="20.100000000000001" customHeight="1">
      <c r="A281" s="933" t="s">
        <v>1844</v>
      </c>
      <c r="B281" s="924">
        <v>0</v>
      </c>
      <c r="C281" s="1467" t="s">
        <v>183</v>
      </c>
      <c r="D281" s="926" t="s">
        <v>136</v>
      </c>
      <c r="E281" s="928">
        <f t="shared" si="58"/>
        <v>0</v>
      </c>
      <c r="F281" s="926" t="s">
        <v>183</v>
      </c>
      <c r="G281" s="926" t="s">
        <v>911</v>
      </c>
      <c r="H281" s="926"/>
      <c r="I281" s="920">
        <f t="shared" si="59"/>
        <v>0</v>
      </c>
      <c r="J281" s="926" t="s">
        <v>183</v>
      </c>
    </row>
    <row r="282" spans="1:13" ht="20.100000000000001" customHeight="1">
      <c r="B282" s="897"/>
      <c r="E282" s="897"/>
      <c r="I282" s="897"/>
    </row>
    <row r="283" spans="1:13" ht="20.100000000000001" customHeight="1">
      <c r="A283" s="900" t="s">
        <v>2049</v>
      </c>
      <c r="B283" s="901"/>
      <c r="C283" s="1460"/>
    </row>
    <row r="284" spans="1:13" ht="20.100000000000001" customHeight="1">
      <c r="A284" s="1583" t="s">
        <v>0</v>
      </c>
      <c r="B284" s="1584" t="s">
        <v>1210</v>
      </c>
      <c r="C284" s="1585"/>
      <c r="D284" s="1585"/>
      <c r="E284" s="1586"/>
      <c r="F284" s="903" t="s">
        <v>129</v>
      </c>
      <c r="G284" s="903" t="s">
        <v>1209</v>
      </c>
      <c r="H284" s="903" t="s">
        <v>136</v>
      </c>
      <c r="I284" s="903" t="s">
        <v>1211</v>
      </c>
    </row>
    <row r="285" spans="1:13" ht="20.100000000000001" customHeight="1">
      <c r="A285" s="1583"/>
      <c r="B285" s="1587"/>
      <c r="C285" s="1588"/>
      <c r="D285" s="1588"/>
      <c r="E285" s="1589"/>
      <c r="F285" s="904" t="s">
        <v>1258</v>
      </c>
      <c r="G285" s="904" t="s">
        <v>181</v>
      </c>
      <c r="H285" s="904" t="s">
        <v>1258</v>
      </c>
      <c r="I285" s="904" t="s">
        <v>1258</v>
      </c>
    </row>
    <row r="286" spans="1:13" ht="20.100000000000001" customHeight="1">
      <c r="A286" s="905">
        <v>1</v>
      </c>
      <c r="B286" s="906" t="s">
        <v>1240</v>
      </c>
      <c r="C286" s="1461"/>
      <c r="D286" s="907"/>
      <c r="E286" s="908"/>
      <c r="F286" s="909">
        <v>0</v>
      </c>
      <c r="G286" s="909">
        <f>G11</f>
        <v>20</v>
      </c>
      <c r="H286" s="910">
        <f>IF(G286=0,0,IF(G286&lt;=200,VLOOKUP(G286,บรรทุกสิบล้อ!$A$8:$C$207,3),(((G286-200)*บรรทุกสิบล้อ!$C$208)+บรรทุกสิบล้อ!$C$207)))/35.3</f>
        <v>1.7971671388101984</v>
      </c>
      <c r="I286" s="910" t="str">
        <f>IF(F286=0,"N/A",F286+H286)</f>
        <v>N/A</v>
      </c>
      <c r="K286" s="913"/>
      <c r="L286" s="911" t="str">
        <f t="shared" ref="L286:L291" si="60">I286</f>
        <v>N/A</v>
      </c>
      <c r="M286" s="912">
        <f>A286</f>
        <v>1</v>
      </c>
    </row>
    <row r="287" spans="1:13" ht="20.100000000000001" customHeight="1">
      <c r="A287" s="905">
        <v>2</v>
      </c>
      <c r="B287" s="906" t="s">
        <v>1257</v>
      </c>
      <c r="C287" s="1461"/>
      <c r="D287" s="907"/>
      <c r="E287" s="908"/>
      <c r="F287" s="909">
        <v>395</v>
      </c>
      <c r="G287" s="909">
        <v>23</v>
      </c>
      <c r="H287" s="910">
        <f>IF(G287=0,0,IF(G287&lt;=200,VLOOKUP(G287,บรรทุกสิบล้อ!$A$8:$C$207,3),(((G287-200)*บรรทุกสิบล้อ!$C$208)+บรรทุกสิบล้อ!$C$207)))/35.3</f>
        <v>2.0589235127478758</v>
      </c>
      <c r="I287" s="910">
        <f>IF(F287=0,"N/A",F287+H287)</f>
        <v>397.05892351274787</v>
      </c>
      <c r="K287" s="922"/>
      <c r="L287" s="911">
        <f t="shared" si="60"/>
        <v>397.05892351274787</v>
      </c>
      <c r="M287" s="912">
        <f>A287</f>
        <v>2</v>
      </c>
    </row>
    <row r="288" spans="1:13" ht="20.100000000000001" customHeight="1">
      <c r="A288" s="905">
        <v>3</v>
      </c>
      <c r="B288" s="906"/>
      <c r="C288" s="1461"/>
      <c r="D288" s="907"/>
      <c r="E288" s="908"/>
      <c r="F288" s="909">
        <v>0</v>
      </c>
      <c r="G288" s="909">
        <v>0</v>
      </c>
      <c r="H288" s="910">
        <f>IF(G288=0,0,IF(G288&lt;=200,VLOOKUP(G288,บรรทุกสิบล้อ!$A$8:$C$207,3),(((G288-200)*บรรทุกสิบล้อ!$C$208)+บรรทุกสิบล้อ!$C$207)))/35.3</f>
        <v>0</v>
      </c>
      <c r="I288" s="910" t="str">
        <f>IF(F288=0,"N/A",F288+H288)</f>
        <v>N/A</v>
      </c>
      <c r="K288" s="913"/>
      <c r="L288" s="911" t="str">
        <f t="shared" si="60"/>
        <v>N/A</v>
      </c>
      <c r="M288" s="912">
        <f>A288</f>
        <v>3</v>
      </c>
    </row>
    <row r="289" spans="1:13" ht="20.100000000000001" customHeight="1">
      <c r="A289" s="905">
        <v>4</v>
      </c>
      <c r="B289" s="906"/>
      <c r="C289" s="1461"/>
      <c r="D289" s="907"/>
      <c r="E289" s="908"/>
      <c r="F289" s="909">
        <v>0</v>
      </c>
      <c r="G289" s="909">
        <v>0</v>
      </c>
      <c r="H289" s="910">
        <f>IF(G289=0,0,IF(G289&lt;=200,VLOOKUP(G289,บรรทุกสิบล้อ!$A$8:$C$207,3),(((G289-200)*บรรทุกสิบล้อ!$C$208)+บรรทุกสิบล้อ!$C$207)))/35.3</f>
        <v>0</v>
      </c>
      <c r="I289" s="910" t="str">
        <f>IF(F289=0,"N/A",F289+H289)</f>
        <v>N/A</v>
      </c>
      <c r="K289" s="913"/>
      <c r="L289" s="911" t="str">
        <f t="shared" si="60"/>
        <v>N/A</v>
      </c>
      <c r="M289" s="912">
        <f>A289</f>
        <v>4</v>
      </c>
    </row>
    <row r="290" spans="1:13" ht="20.100000000000001" customHeight="1">
      <c r="A290" s="905">
        <v>5</v>
      </c>
      <c r="B290" s="906"/>
      <c r="C290" s="1461"/>
      <c r="D290" s="907"/>
      <c r="E290" s="908"/>
      <c r="F290" s="909">
        <v>0</v>
      </c>
      <c r="G290" s="909">
        <v>0</v>
      </c>
      <c r="H290" s="910">
        <f>IF(G290=0,0,IF(G290&lt;=200,VLOOKUP(G290,บรรทุกสิบล้อ!$A$8:$C$207,3),(((G290-200)*บรรทุกสิบล้อ!$C$208)+บรรทุกสิบล้อ!$C$207)))/35.3</f>
        <v>0</v>
      </c>
      <c r="I290" s="910" t="str">
        <f>IF(F290=0,"N/A",F290+H290)</f>
        <v>N/A</v>
      </c>
      <c r="K290" s="913"/>
      <c r="L290" s="911" t="str">
        <f t="shared" si="60"/>
        <v>N/A</v>
      </c>
      <c r="M290" s="912">
        <f>A290</f>
        <v>5</v>
      </c>
    </row>
    <row r="291" spans="1:13" ht="20.100000000000001" customHeight="1" thickBot="1">
      <c r="F291" s="914"/>
      <c r="G291" s="914"/>
      <c r="H291" s="914" t="s">
        <v>1212</v>
      </c>
      <c r="I291" s="932">
        <f>MIN(I286:I290)</f>
        <v>397.05892351274787</v>
      </c>
      <c r="L291" s="895">
        <f t="shared" si="60"/>
        <v>397.05892351274787</v>
      </c>
      <c r="M291" s="916">
        <f>IF(L291=L286,M286,IF(L291=L287,M287,IF(L291=L288,M288,IF(L291=L289,M289,M290))))</f>
        <v>2</v>
      </c>
    </row>
    <row r="292" spans="1:13" ht="20.100000000000001" customHeight="1" thickTop="1">
      <c r="B292" s="917" t="s">
        <v>1224</v>
      </c>
      <c r="C292" s="1463" t="str">
        <f>VLOOKUP(M291,A286:N290,2)</f>
        <v>ร้านไม้ทุ่งคายโรงไม้</v>
      </c>
      <c r="D292" s="918"/>
      <c r="E292" s="918"/>
      <c r="F292" s="918"/>
      <c r="G292" s="916"/>
      <c r="H292" s="916"/>
      <c r="I292" s="916"/>
    </row>
    <row r="293" spans="1:13" ht="20.100000000000001" customHeight="1">
      <c r="A293" s="917" t="s">
        <v>129</v>
      </c>
      <c r="B293" s="919">
        <f>VLOOKUP(M291,A286:I290,6)</f>
        <v>395</v>
      </c>
      <c r="C293" s="1464" t="s">
        <v>1258</v>
      </c>
      <c r="D293" s="917" t="s">
        <v>15</v>
      </c>
      <c r="E293" s="919">
        <f>VLOOKUP(M291,A286:I290,7)</f>
        <v>23</v>
      </c>
      <c r="F293" s="916" t="s">
        <v>181</v>
      </c>
      <c r="G293" s="917" t="s">
        <v>136</v>
      </c>
      <c r="H293" s="919">
        <f>VLOOKUP(M291,A286:I290,8)</f>
        <v>2.0589235127478758</v>
      </c>
      <c r="I293" s="916" t="s">
        <v>1258</v>
      </c>
    </row>
    <row r="294" spans="1:13" ht="20.100000000000001" customHeight="1">
      <c r="B294" s="897"/>
      <c r="E294" s="897"/>
      <c r="I294" s="897"/>
    </row>
    <row r="295" spans="1:13" ht="20.100000000000001" customHeight="1">
      <c r="A295" s="934" t="s">
        <v>2050</v>
      </c>
      <c r="B295" s="924"/>
      <c r="C295" s="1466"/>
    </row>
    <row r="296" spans="1:13" ht="20.100000000000001" customHeight="1">
      <c r="A296" s="923" t="s">
        <v>2051</v>
      </c>
      <c r="B296" s="924"/>
      <c r="C296" s="1466"/>
      <c r="D296" s="924"/>
      <c r="E296" s="924"/>
      <c r="G296" s="925" t="s">
        <v>910</v>
      </c>
      <c r="H296" s="926"/>
      <c r="I296" s="926">
        <v>0</v>
      </c>
      <c r="J296" s="927" t="s">
        <v>181</v>
      </c>
    </row>
    <row r="297" spans="1:13" ht="20.100000000000001" customHeight="1">
      <c r="A297" s="926" t="s">
        <v>1951</v>
      </c>
      <c r="B297" s="924">
        <v>27100</v>
      </c>
      <c r="C297" s="1467" t="s">
        <v>182</v>
      </c>
      <c r="D297" s="926" t="s">
        <v>136</v>
      </c>
      <c r="E297" s="928">
        <f>IF(I296=0,0,IF(I296&lt;=200,VLOOKUP(I296,'บรรทุกสิบล้อ+ลากพ่วง'!$A$9:$C$208,2),(((I296-200)*'บรรทุกสิบล้อ+ลากพ่วง'!$B$209)+'บรรทุกสิบล้อ+ลากพ่วง'!$B$208)))</f>
        <v>0</v>
      </c>
      <c r="F297" s="926" t="s">
        <v>182</v>
      </c>
      <c r="G297" s="926" t="s">
        <v>911</v>
      </c>
      <c r="H297" s="926"/>
      <c r="I297" s="920">
        <f t="shared" ref="I297:I303" si="61">B297-E297</f>
        <v>27100</v>
      </c>
      <c r="J297" s="926" t="s">
        <v>182</v>
      </c>
    </row>
    <row r="298" spans="1:13" ht="20.100000000000001" customHeight="1">
      <c r="A298" s="926" t="s">
        <v>176</v>
      </c>
      <c r="B298" s="924">
        <v>36100</v>
      </c>
      <c r="C298" s="1467" t="s">
        <v>182</v>
      </c>
      <c r="D298" s="926" t="s">
        <v>136</v>
      </c>
      <c r="E298" s="928">
        <f t="shared" ref="E298:E303" si="62">$E$297</f>
        <v>0</v>
      </c>
      <c r="F298" s="926" t="s">
        <v>182</v>
      </c>
      <c r="G298" s="926" t="s">
        <v>911</v>
      </c>
      <c r="H298" s="926"/>
      <c r="I298" s="920">
        <f t="shared" si="61"/>
        <v>36100</v>
      </c>
      <c r="J298" s="926" t="s">
        <v>182</v>
      </c>
    </row>
    <row r="299" spans="1:13" ht="20.100000000000001" customHeight="1">
      <c r="A299" s="926" t="s">
        <v>177</v>
      </c>
      <c r="B299" s="924">
        <v>22700</v>
      </c>
      <c r="C299" s="1467" t="s">
        <v>182</v>
      </c>
      <c r="D299" s="926" t="s">
        <v>136</v>
      </c>
      <c r="E299" s="928">
        <f t="shared" si="62"/>
        <v>0</v>
      </c>
      <c r="F299" s="926" t="s">
        <v>182</v>
      </c>
      <c r="G299" s="926" t="s">
        <v>911</v>
      </c>
      <c r="H299" s="926"/>
      <c r="I299" s="920">
        <f t="shared" si="61"/>
        <v>22700</v>
      </c>
      <c r="J299" s="926" t="s">
        <v>182</v>
      </c>
    </row>
    <row r="300" spans="1:13" ht="20.100000000000001" customHeight="1">
      <c r="A300" s="926" t="s">
        <v>178</v>
      </c>
      <c r="B300" s="924">
        <v>22500</v>
      </c>
      <c r="C300" s="1467" t="s">
        <v>182</v>
      </c>
      <c r="D300" s="926" t="s">
        <v>136</v>
      </c>
      <c r="E300" s="928">
        <f t="shared" si="62"/>
        <v>0</v>
      </c>
      <c r="F300" s="926" t="s">
        <v>182</v>
      </c>
      <c r="G300" s="926" t="s">
        <v>911</v>
      </c>
      <c r="H300" s="926"/>
      <c r="I300" s="920">
        <f t="shared" si="61"/>
        <v>22500</v>
      </c>
      <c r="J300" s="926" t="s">
        <v>182</v>
      </c>
    </row>
    <row r="301" spans="1:13" ht="20.100000000000001" customHeight="1">
      <c r="A301" s="926" t="s">
        <v>179</v>
      </c>
      <c r="B301" s="924">
        <v>22900</v>
      </c>
      <c r="C301" s="1467" t="s">
        <v>182</v>
      </c>
      <c r="D301" s="926" t="s">
        <v>136</v>
      </c>
      <c r="E301" s="928">
        <f t="shared" si="62"/>
        <v>0</v>
      </c>
      <c r="F301" s="926" t="s">
        <v>182</v>
      </c>
      <c r="G301" s="926" t="s">
        <v>911</v>
      </c>
      <c r="H301" s="926"/>
      <c r="I301" s="920">
        <f t="shared" si="61"/>
        <v>22900</v>
      </c>
      <c r="J301" s="926" t="s">
        <v>182</v>
      </c>
    </row>
    <row r="302" spans="1:13" ht="20.100000000000001" customHeight="1">
      <c r="A302" s="926" t="s">
        <v>2003</v>
      </c>
      <c r="B302" s="924">
        <v>32400</v>
      </c>
      <c r="C302" s="1467" t="s">
        <v>182</v>
      </c>
      <c r="D302" s="926" t="s">
        <v>136</v>
      </c>
      <c r="E302" s="928">
        <f t="shared" si="62"/>
        <v>0</v>
      </c>
      <c r="F302" s="926" t="s">
        <v>182</v>
      </c>
      <c r="G302" s="926" t="s">
        <v>911</v>
      </c>
      <c r="H302" s="926"/>
      <c r="I302" s="920">
        <f t="shared" si="61"/>
        <v>32400</v>
      </c>
      <c r="J302" s="926" t="s">
        <v>182</v>
      </c>
    </row>
    <row r="303" spans="1:13" ht="20.100000000000001" customHeight="1">
      <c r="A303" s="926" t="s">
        <v>180</v>
      </c>
      <c r="B303" s="924">
        <v>22900</v>
      </c>
      <c r="C303" s="1467" t="s">
        <v>182</v>
      </c>
      <c r="D303" s="926" t="s">
        <v>136</v>
      </c>
      <c r="E303" s="928">
        <f t="shared" si="62"/>
        <v>0</v>
      </c>
      <c r="F303" s="926" t="s">
        <v>182</v>
      </c>
      <c r="G303" s="926" t="s">
        <v>911</v>
      </c>
      <c r="H303" s="926"/>
      <c r="I303" s="920">
        <f t="shared" si="61"/>
        <v>22900</v>
      </c>
      <c r="J303" s="926" t="s">
        <v>182</v>
      </c>
    </row>
    <row r="304" spans="1:13" ht="20.100000000000001" customHeight="1"/>
    <row r="305" spans="1:19" ht="20.100000000000001" customHeight="1">
      <c r="A305" s="923" t="s">
        <v>2052</v>
      </c>
      <c r="B305" s="924"/>
      <c r="C305" s="1466"/>
      <c r="D305" s="924"/>
      <c r="E305" s="924"/>
      <c r="G305" s="925" t="s">
        <v>913</v>
      </c>
      <c r="H305" s="926"/>
      <c r="I305" s="924">
        <v>250</v>
      </c>
      <c r="J305" s="927" t="s">
        <v>181</v>
      </c>
    </row>
    <row r="306" spans="1:19" ht="20.100000000000001" customHeight="1">
      <c r="A306" s="926" t="s">
        <v>1951</v>
      </c>
      <c r="B306" s="920">
        <f t="shared" ref="B306:B312" si="63">B297</f>
        <v>27100</v>
      </c>
      <c r="C306" s="1467" t="s">
        <v>182</v>
      </c>
      <c r="D306" s="926" t="s">
        <v>136</v>
      </c>
      <c r="E306" s="928">
        <f>IF(I305=0,0,IF(I305&lt;=200,VLOOKUP(I305,'บรรทุกสิบล้อ+ลากพ่วง'!$A$9:$C$208,2),(((I305-200)*'บรรทุกสิบล้อ+ลากพ่วง'!$B$209)+'บรรทุกสิบล้อ+ลากพ่วง'!$B$208)))</f>
        <v>338.15</v>
      </c>
      <c r="F306" s="926" t="s">
        <v>182</v>
      </c>
      <c r="G306" s="926" t="s">
        <v>914</v>
      </c>
      <c r="H306" s="926"/>
      <c r="I306" s="920">
        <f>B306+E306</f>
        <v>27438.15</v>
      </c>
      <c r="J306" s="926" t="s">
        <v>182</v>
      </c>
      <c r="K306" s="926" t="s">
        <v>1951</v>
      </c>
      <c r="L306" s="895">
        <f t="shared" ref="L306:L311" si="64">IF(B306=0,I315,IF(B315=0,I306,MIN(I306,I315)))</f>
        <v>27438.15</v>
      </c>
      <c r="M306" s="895" t="str">
        <f t="shared" ref="M306:M312" si="65">IF(L306=I306,"สำนักดัชนีเศรษฐกิจการค้า กรุงเทพมหานคร",IF(L306=I315,"อ.ศรีราชา จ.ชลบุรี",0))</f>
        <v>สำนักดัชนีเศรษฐกิจการค้า กรุงเทพมหานคร</v>
      </c>
      <c r="Q306" s="895">
        <f t="shared" ref="Q306:Q312" si="66">IF(L306=I306,B306,IF(L306=I315,B315,0))</f>
        <v>27100</v>
      </c>
      <c r="R306" s="895">
        <f t="shared" ref="R306:R312" si="67">IF(L306=I306,$I$305,IF(L306=I315,$I$314,0))</f>
        <v>250</v>
      </c>
      <c r="S306" s="895">
        <f t="shared" ref="S306:S312" si="68">IF(L306=I306,$E$306,IF(L306=I315,$E$315,0))</f>
        <v>338.15</v>
      </c>
    </row>
    <row r="307" spans="1:19" ht="20.100000000000001" customHeight="1">
      <c r="A307" s="926" t="s">
        <v>176</v>
      </c>
      <c r="B307" s="920">
        <f t="shared" si="63"/>
        <v>36100</v>
      </c>
      <c r="C307" s="1467" t="s">
        <v>182</v>
      </c>
      <c r="D307" s="926" t="s">
        <v>136</v>
      </c>
      <c r="E307" s="928">
        <f t="shared" ref="E307:E312" si="69">$E$306</f>
        <v>338.15</v>
      </c>
      <c r="F307" s="926" t="s">
        <v>182</v>
      </c>
      <c r="G307" s="926" t="s">
        <v>914</v>
      </c>
      <c r="H307" s="926"/>
      <c r="I307" s="920">
        <f t="shared" ref="I307:I312" si="70">B307+E307</f>
        <v>36438.15</v>
      </c>
      <c r="J307" s="926" t="s">
        <v>182</v>
      </c>
      <c r="K307" s="895" t="s">
        <v>176</v>
      </c>
      <c r="L307" s="895">
        <f t="shared" si="64"/>
        <v>36438.15</v>
      </c>
      <c r="M307" s="895" t="str">
        <f t="shared" si="65"/>
        <v>สำนักดัชนีเศรษฐกิจการค้า กรุงเทพมหานคร</v>
      </c>
      <c r="Q307" s="895">
        <f t="shared" si="66"/>
        <v>36100</v>
      </c>
      <c r="R307" s="895">
        <f t="shared" si="67"/>
        <v>250</v>
      </c>
      <c r="S307" s="895">
        <f t="shared" si="68"/>
        <v>338.15</v>
      </c>
    </row>
    <row r="308" spans="1:19" ht="20.100000000000001" customHeight="1">
      <c r="A308" s="926" t="s">
        <v>177</v>
      </c>
      <c r="B308" s="920">
        <f t="shared" si="63"/>
        <v>22700</v>
      </c>
      <c r="C308" s="1467" t="s">
        <v>182</v>
      </c>
      <c r="D308" s="926" t="s">
        <v>136</v>
      </c>
      <c r="E308" s="928">
        <f t="shared" si="69"/>
        <v>338.15</v>
      </c>
      <c r="F308" s="926" t="s">
        <v>182</v>
      </c>
      <c r="G308" s="926" t="s">
        <v>914</v>
      </c>
      <c r="H308" s="926"/>
      <c r="I308" s="920">
        <f t="shared" si="70"/>
        <v>23038.15</v>
      </c>
      <c r="J308" s="926" t="s">
        <v>182</v>
      </c>
      <c r="K308" s="895" t="s">
        <v>177</v>
      </c>
      <c r="L308" s="895">
        <f t="shared" si="64"/>
        <v>23038.15</v>
      </c>
      <c r="M308" s="895" t="str">
        <f t="shared" si="65"/>
        <v>สำนักดัชนีเศรษฐกิจการค้า กรุงเทพมหานคร</v>
      </c>
      <c r="Q308" s="895">
        <f t="shared" si="66"/>
        <v>22700</v>
      </c>
      <c r="R308" s="895">
        <f t="shared" si="67"/>
        <v>250</v>
      </c>
      <c r="S308" s="895">
        <f t="shared" si="68"/>
        <v>338.15</v>
      </c>
    </row>
    <row r="309" spans="1:19" ht="20.100000000000001" customHeight="1">
      <c r="A309" s="926" t="s">
        <v>178</v>
      </c>
      <c r="B309" s="920">
        <f t="shared" si="63"/>
        <v>22500</v>
      </c>
      <c r="C309" s="1467" t="s">
        <v>182</v>
      </c>
      <c r="D309" s="926" t="s">
        <v>136</v>
      </c>
      <c r="E309" s="928">
        <f t="shared" si="69"/>
        <v>338.15</v>
      </c>
      <c r="F309" s="926" t="s">
        <v>182</v>
      </c>
      <c r="G309" s="926" t="s">
        <v>914</v>
      </c>
      <c r="H309" s="926"/>
      <c r="I309" s="920">
        <f t="shared" si="70"/>
        <v>22838.15</v>
      </c>
      <c r="J309" s="926" t="s">
        <v>182</v>
      </c>
      <c r="K309" s="895" t="s">
        <v>178</v>
      </c>
      <c r="L309" s="895">
        <f t="shared" si="64"/>
        <v>22838.15</v>
      </c>
      <c r="M309" s="895" t="str">
        <f t="shared" si="65"/>
        <v>สำนักดัชนีเศรษฐกิจการค้า กรุงเทพมหานคร</v>
      </c>
      <c r="Q309" s="895">
        <f t="shared" si="66"/>
        <v>22500</v>
      </c>
      <c r="R309" s="895">
        <f t="shared" si="67"/>
        <v>250</v>
      </c>
      <c r="S309" s="895">
        <f t="shared" si="68"/>
        <v>338.15</v>
      </c>
    </row>
    <row r="310" spans="1:19" ht="20.100000000000001" customHeight="1">
      <c r="A310" s="926" t="s">
        <v>179</v>
      </c>
      <c r="B310" s="920">
        <f t="shared" si="63"/>
        <v>22900</v>
      </c>
      <c r="C310" s="1467" t="s">
        <v>182</v>
      </c>
      <c r="D310" s="926" t="s">
        <v>136</v>
      </c>
      <c r="E310" s="928">
        <f t="shared" si="69"/>
        <v>338.15</v>
      </c>
      <c r="F310" s="926" t="s">
        <v>182</v>
      </c>
      <c r="G310" s="926" t="s">
        <v>914</v>
      </c>
      <c r="H310" s="926"/>
      <c r="I310" s="920">
        <f t="shared" si="70"/>
        <v>23238.15</v>
      </c>
      <c r="J310" s="926" t="s">
        <v>182</v>
      </c>
      <c r="K310" s="895" t="s">
        <v>179</v>
      </c>
      <c r="L310" s="895">
        <f t="shared" si="64"/>
        <v>23238.15</v>
      </c>
      <c r="M310" s="895" t="str">
        <f t="shared" si="65"/>
        <v>สำนักดัชนีเศรษฐกิจการค้า กรุงเทพมหานคร</v>
      </c>
      <c r="Q310" s="895">
        <f t="shared" si="66"/>
        <v>22900</v>
      </c>
      <c r="R310" s="895">
        <f t="shared" si="67"/>
        <v>250</v>
      </c>
      <c r="S310" s="895">
        <f t="shared" si="68"/>
        <v>338.15</v>
      </c>
    </row>
    <row r="311" spans="1:19" ht="20.100000000000001" customHeight="1">
      <c r="A311" s="926" t="s">
        <v>2003</v>
      </c>
      <c r="B311" s="920">
        <f t="shared" si="63"/>
        <v>32400</v>
      </c>
      <c r="C311" s="1467" t="s">
        <v>182</v>
      </c>
      <c r="D311" s="926" t="s">
        <v>136</v>
      </c>
      <c r="E311" s="928">
        <f t="shared" si="69"/>
        <v>338.15</v>
      </c>
      <c r="F311" s="926" t="s">
        <v>182</v>
      </c>
      <c r="G311" s="926" t="s">
        <v>914</v>
      </c>
      <c r="H311" s="926"/>
      <c r="I311" s="920">
        <f>B311+E311</f>
        <v>32738.15</v>
      </c>
      <c r="J311" s="926" t="s">
        <v>182</v>
      </c>
      <c r="K311" s="895" t="s">
        <v>2003</v>
      </c>
      <c r="L311" s="895">
        <f t="shared" si="64"/>
        <v>32738.15</v>
      </c>
      <c r="M311" s="895" t="str">
        <f t="shared" si="65"/>
        <v>สำนักดัชนีเศรษฐกิจการค้า กรุงเทพมหานคร</v>
      </c>
      <c r="Q311" s="895">
        <f t="shared" si="66"/>
        <v>32400</v>
      </c>
      <c r="R311" s="895">
        <f t="shared" si="67"/>
        <v>250</v>
      </c>
      <c r="S311" s="895">
        <f t="shared" si="68"/>
        <v>338.15</v>
      </c>
    </row>
    <row r="312" spans="1:19" ht="20.100000000000001" customHeight="1">
      <c r="A312" s="926" t="s">
        <v>180</v>
      </c>
      <c r="B312" s="920">
        <f t="shared" si="63"/>
        <v>22900</v>
      </c>
      <c r="C312" s="1467" t="s">
        <v>182</v>
      </c>
      <c r="D312" s="926" t="s">
        <v>136</v>
      </c>
      <c r="E312" s="928">
        <f t="shared" si="69"/>
        <v>338.15</v>
      </c>
      <c r="F312" s="926" t="s">
        <v>182</v>
      </c>
      <c r="G312" s="926" t="s">
        <v>914</v>
      </c>
      <c r="H312" s="926"/>
      <c r="I312" s="920">
        <f t="shared" si="70"/>
        <v>23238.15</v>
      </c>
      <c r="J312" s="926" t="s">
        <v>182</v>
      </c>
      <c r="K312" s="895" t="s">
        <v>180</v>
      </c>
      <c r="L312" s="895">
        <f>IF(B312=0,I321,IF(B321=0,I312,MIN(I312,I321)))</f>
        <v>23238.15</v>
      </c>
      <c r="M312" s="895" t="str">
        <f t="shared" si="65"/>
        <v>สำนักดัชนีเศรษฐกิจการค้า กรุงเทพมหานคร</v>
      </c>
      <c r="Q312" s="895">
        <f t="shared" si="66"/>
        <v>22900</v>
      </c>
      <c r="R312" s="895">
        <f t="shared" si="67"/>
        <v>250</v>
      </c>
      <c r="S312" s="895">
        <f t="shared" si="68"/>
        <v>338.15</v>
      </c>
    </row>
    <row r="313" spans="1:19" ht="20.100000000000001" customHeight="1"/>
    <row r="314" spans="1:19" ht="20.100000000000001" customHeight="1">
      <c r="A314" s="923" t="s">
        <v>2053</v>
      </c>
      <c r="B314" s="924"/>
      <c r="C314" s="1466"/>
      <c r="D314" s="924"/>
      <c r="E314" s="924"/>
      <c r="G314" s="925" t="s">
        <v>910</v>
      </c>
      <c r="H314" s="926"/>
      <c r="I314" s="924">
        <f>I305+I296</f>
        <v>250</v>
      </c>
      <c r="J314" s="927" t="s">
        <v>181</v>
      </c>
    </row>
    <row r="315" spans="1:19" ht="20.100000000000001" customHeight="1">
      <c r="A315" s="926" t="s">
        <v>1951</v>
      </c>
      <c r="B315" s="920">
        <f t="shared" ref="B315:B321" si="71">I297</f>
        <v>27100</v>
      </c>
      <c r="C315" s="1467" t="s">
        <v>182</v>
      </c>
      <c r="D315" s="926" t="s">
        <v>136</v>
      </c>
      <c r="E315" s="928">
        <f>IF(I314=0,0,IF(I314&lt;=200,VLOOKUP(I314,'บรรทุกสิบล้อ+ลากพ่วง'!$A$9:$C$208,2),(((I314-200)*'บรรทุกสิบล้อ+ลากพ่วง'!$B$209)+'บรรทุกสิบล้อ+ลากพ่วง'!$B$208)))</f>
        <v>338.15</v>
      </c>
      <c r="F315" s="926" t="s">
        <v>182</v>
      </c>
      <c r="G315" s="926" t="s">
        <v>911</v>
      </c>
      <c r="H315" s="926"/>
      <c r="I315" s="920">
        <f>B315+E315</f>
        <v>27438.15</v>
      </c>
      <c r="J315" s="926" t="s">
        <v>182</v>
      </c>
    </row>
    <row r="316" spans="1:19" ht="20.100000000000001" customHeight="1">
      <c r="A316" s="926" t="s">
        <v>176</v>
      </c>
      <c r="B316" s="920">
        <f t="shared" si="71"/>
        <v>36100</v>
      </c>
      <c r="C316" s="1467" t="s">
        <v>182</v>
      </c>
      <c r="D316" s="926" t="s">
        <v>136</v>
      </c>
      <c r="E316" s="928">
        <f t="shared" ref="E316:E321" si="72">$E$315</f>
        <v>338.15</v>
      </c>
      <c r="F316" s="926" t="s">
        <v>182</v>
      </c>
      <c r="G316" s="926" t="s">
        <v>911</v>
      </c>
      <c r="H316" s="926"/>
      <c r="I316" s="920">
        <f t="shared" ref="I316:I321" si="73">B316+E316</f>
        <v>36438.15</v>
      </c>
      <c r="J316" s="926" t="s">
        <v>182</v>
      </c>
    </row>
    <row r="317" spans="1:19" ht="20.100000000000001" customHeight="1">
      <c r="A317" s="926" t="s">
        <v>177</v>
      </c>
      <c r="B317" s="920">
        <f t="shared" si="71"/>
        <v>22700</v>
      </c>
      <c r="C317" s="1467" t="s">
        <v>182</v>
      </c>
      <c r="D317" s="926" t="s">
        <v>136</v>
      </c>
      <c r="E317" s="928">
        <f t="shared" si="72"/>
        <v>338.15</v>
      </c>
      <c r="F317" s="926" t="s">
        <v>182</v>
      </c>
      <c r="G317" s="926" t="s">
        <v>911</v>
      </c>
      <c r="H317" s="926"/>
      <c r="I317" s="920">
        <f t="shared" si="73"/>
        <v>23038.15</v>
      </c>
      <c r="J317" s="926" t="s">
        <v>182</v>
      </c>
    </row>
    <row r="318" spans="1:19" ht="20.100000000000001" customHeight="1">
      <c r="A318" s="926" t="s">
        <v>178</v>
      </c>
      <c r="B318" s="920">
        <f t="shared" si="71"/>
        <v>22500</v>
      </c>
      <c r="C318" s="1467" t="s">
        <v>182</v>
      </c>
      <c r="D318" s="926" t="s">
        <v>136</v>
      </c>
      <c r="E318" s="928">
        <f t="shared" si="72"/>
        <v>338.15</v>
      </c>
      <c r="F318" s="926" t="s">
        <v>182</v>
      </c>
      <c r="G318" s="926" t="s">
        <v>911</v>
      </c>
      <c r="H318" s="926"/>
      <c r="I318" s="920">
        <f t="shared" si="73"/>
        <v>22838.15</v>
      </c>
      <c r="J318" s="926" t="s">
        <v>182</v>
      </c>
    </row>
    <row r="319" spans="1:19" ht="20.100000000000001" customHeight="1">
      <c r="A319" s="926" t="s">
        <v>179</v>
      </c>
      <c r="B319" s="920">
        <f t="shared" si="71"/>
        <v>22900</v>
      </c>
      <c r="C319" s="1467" t="s">
        <v>182</v>
      </c>
      <c r="D319" s="926" t="s">
        <v>136</v>
      </c>
      <c r="E319" s="928">
        <f t="shared" si="72"/>
        <v>338.15</v>
      </c>
      <c r="F319" s="926" t="s">
        <v>182</v>
      </c>
      <c r="G319" s="926" t="s">
        <v>911</v>
      </c>
      <c r="H319" s="926"/>
      <c r="I319" s="920">
        <f t="shared" si="73"/>
        <v>23238.15</v>
      </c>
      <c r="J319" s="926" t="s">
        <v>182</v>
      </c>
    </row>
    <row r="320" spans="1:19" ht="20.100000000000001" customHeight="1">
      <c r="A320" s="926" t="s">
        <v>2003</v>
      </c>
      <c r="B320" s="920">
        <f t="shared" si="71"/>
        <v>32400</v>
      </c>
      <c r="C320" s="1467" t="s">
        <v>182</v>
      </c>
      <c r="D320" s="926" t="s">
        <v>136</v>
      </c>
      <c r="E320" s="928">
        <f t="shared" si="72"/>
        <v>338.15</v>
      </c>
      <c r="F320" s="926" t="s">
        <v>182</v>
      </c>
      <c r="G320" s="926" t="s">
        <v>911</v>
      </c>
      <c r="H320" s="926"/>
      <c r="I320" s="920">
        <f>B320+E320</f>
        <v>32738.15</v>
      </c>
      <c r="J320" s="926" t="s">
        <v>182</v>
      </c>
    </row>
    <row r="321" spans="1:19" ht="20.100000000000001" customHeight="1">
      <c r="A321" s="926" t="s">
        <v>180</v>
      </c>
      <c r="B321" s="920">
        <f t="shared" si="71"/>
        <v>22900</v>
      </c>
      <c r="C321" s="1467" t="s">
        <v>182</v>
      </c>
      <c r="D321" s="926" t="s">
        <v>136</v>
      </c>
      <c r="E321" s="928">
        <f t="shared" si="72"/>
        <v>338.15</v>
      </c>
      <c r="F321" s="926" t="s">
        <v>182</v>
      </c>
      <c r="G321" s="926" t="s">
        <v>911</v>
      </c>
      <c r="H321" s="926"/>
      <c r="I321" s="920">
        <f t="shared" si="73"/>
        <v>23238.15</v>
      </c>
      <c r="J321" s="926" t="s">
        <v>182</v>
      </c>
    </row>
    <row r="323" spans="1:19">
      <c r="A323" s="934" t="s">
        <v>2054</v>
      </c>
      <c r="B323" s="924"/>
      <c r="C323" s="1466"/>
      <c r="D323" s="924"/>
      <c r="E323" s="924"/>
      <c r="F323" s="924"/>
    </row>
    <row r="324" spans="1:19">
      <c r="A324" s="923" t="s">
        <v>2055</v>
      </c>
      <c r="B324" s="924"/>
      <c r="C324" s="1466"/>
      <c r="D324" s="924"/>
      <c r="E324" s="924"/>
      <c r="F324" s="924"/>
      <c r="G324" s="925" t="s">
        <v>910</v>
      </c>
      <c r="H324" s="926"/>
      <c r="I324" s="924">
        <f>I106</f>
        <v>843</v>
      </c>
      <c r="J324" s="927" t="s">
        <v>181</v>
      </c>
    </row>
    <row r="325" spans="1:19">
      <c r="A325" s="926" t="s">
        <v>1723</v>
      </c>
      <c r="B325" s="926"/>
      <c r="C325" s="1474">
        <v>3250</v>
      </c>
      <c r="D325" s="926" t="s">
        <v>1724</v>
      </c>
      <c r="E325" s="935" t="s">
        <v>136</v>
      </c>
      <c r="F325" s="920">
        <f>IF(I324=0,0,IF(I324&lt;=200,VLOOKUP(I324,บรรทุกสิบล้อ!$A$9:$C$208,2),(((I324-200)*บรรทุกสิบล้อ!$B$209)+บรรทุกสิบล้อ!$B$208)))</f>
        <v>1863.11</v>
      </c>
      <c r="G325" s="926" t="s">
        <v>1724</v>
      </c>
      <c r="H325" s="935" t="s">
        <v>1211</v>
      </c>
      <c r="I325" s="920">
        <f>IF(C325=0,0,C325+F325)</f>
        <v>5113.1099999999997</v>
      </c>
      <c r="J325" s="926" t="s">
        <v>1724</v>
      </c>
      <c r="K325" s="926" t="s">
        <v>1723</v>
      </c>
      <c r="M325" s="895">
        <f>IF(C325=0,I331,IF(C331=0,I325,MIN(J325,I331)))</f>
        <v>3899.27</v>
      </c>
      <c r="N325" s="895" t="str">
        <f>IF(M325=I325,"เขตดินแดง กรุงเทพมหานคร",IF(M325=I331,"อ.หาดใหญ่ จ.สงขลา",0))</f>
        <v>อ.หาดใหญ่ จ.สงขลา</v>
      </c>
      <c r="Q325" s="895">
        <f>IF(M325=I325,C325,IF(M325=I331,C331,0))</f>
        <v>3737.2</v>
      </c>
      <c r="R325" s="895">
        <f>IF(M325=I325,$I$324,IF(M325=I331,$I$330,0))</f>
        <v>73</v>
      </c>
      <c r="S325" s="895">
        <f>IF(M325=I325,$F$325,IF(M325=I331,$F$331,0))</f>
        <v>162.07</v>
      </c>
    </row>
    <row r="326" spans="1:19">
      <c r="A326" s="926" t="s">
        <v>1725</v>
      </c>
      <c r="B326" s="926"/>
      <c r="C326" s="1474">
        <v>2320</v>
      </c>
      <c r="D326" s="926" t="s">
        <v>1724</v>
      </c>
      <c r="E326" s="935" t="s">
        <v>136</v>
      </c>
      <c r="F326" s="920">
        <f>IF(I324=0,0,IF(I324&lt;=200,VLOOKUP(I324,บรรทุกสิบล้อ!$A$9:$C$208,2),(((I324-200)*บรรทุกสิบล้อ!$B$209)+บรรทุกสิบล้อ!$B$208)))</f>
        <v>1863.11</v>
      </c>
      <c r="G326" s="926" t="s">
        <v>1724</v>
      </c>
      <c r="H326" s="935" t="s">
        <v>1211</v>
      </c>
      <c r="I326" s="920">
        <f>IF(C326=0,0,C326+F326)</f>
        <v>4183.1099999999997</v>
      </c>
      <c r="J326" s="926" t="s">
        <v>1724</v>
      </c>
      <c r="K326" s="926" t="s">
        <v>1725</v>
      </c>
      <c r="M326" s="895">
        <f>IF(C326=0,I332,IF(C332=0,I326,MIN(J326,I332)))</f>
        <v>2302.0700000000002</v>
      </c>
      <c r="N326" s="895" t="str">
        <f>IF(M326=I326,"เขตดินแดง กรุงเทพมหานคร",IF(M326=I332,"อ.หาดใหญ่ จ.สงขลา",0))</f>
        <v>อ.หาดใหญ่ จ.สงขลา</v>
      </c>
      <c r="Q326" s="895">
        <f>IF(M326=I326,C326,IF(M326=I332,C332,0))</f>
        <v>2140</v>
      </c>
      <c r="R326" s="895">
        <f>IF(M326=I326,$I$324,IF(M326=I332,$I$330,0))</f>
        <v>73</v>
      </c>
      <c r="S326" s="895">
        <f>IF(M326=I326,$F$325,IF(M326=I332,$F$331,0))</f>
        <v>162.07</v>
      </c>
    </row>
    <row r="327" spans="1:19">
      <c r="A327" s="926" t="s">
        <v>1726</v>
      </c>
      <c r="B327" s="926"/>
      <c r="C327" s="1474">
        <v>1730</v>
      </c>
      <c r="D327" s="926" t="s">
        <v>1724</v>
      </c>
      <c r="E327" s="935" t="s">
        <v>136</v>
      </c>
      <c r="F327" s="920">
        <f>IF(I324=0,0,IF(I324&lt;=200,VLOOKUP(I324,บรรทุกสิบล้อ!$A$9:$C$208,2),(((I324-200)*บรรทุกสิบล้อ!$B$209)+บรรทุกสิบล้อ!$B$208)))</f>
        <v>1863.11</v>
      </c>
      <c r="G327" s="926" t="s">
        <v>1724</v>
      </c>
      <c r="H327" s="935" t="s">
        <v>1211</v>
      </c>
      <c r="I327" s="920">
        <f>IF(C327=0,0,C327+F327)</f>
        <v>3593.1099999999997</v>
      </c>
      <c r="J327" s="926" t="s">
        <v>1724</v>
      </c>
      <c r="K327" s="926" t="s">
        <v>1726</v>
      </c>
      <c r="M327" s="895">
        <f>IF(C327=0,I333,IF(C333=0,I327,MIN(J327,I333)))</f>
        <v>1762.07</v>
      </c>
      <c r="N327" s="895" t="str">
        <f>IF(M327=I327,"เขตดินแดง กรุงเทพมหานคร",IF(M327=I333,"อ.หาดใหญ่ จ.สงขลา",0))</f>
        <v>อ.หาดใหญ่ จ.สงขลา</v>
      </c>
      <c r="Q327" s="895">
        <f>IF(M327=I327,C327,IF(M327=I333,C333,0))</f>
        <v>1600</v>
      </c>
      <c r="R327" s="895">
        <f>IF(M327=I327,$I$324,IF(M327=I333,$I$330,0))</f>
        <v>73</v>
      </c>
      <c r="S327" s="895">
        <f>IF(M327=I327,$F$325,IF(M327=I333,$F$331,0))</f>
        <v>162.07</v>
      </c>
    </row>
    <row r="328" spans="1:19">
      <c r="A328" s="926" t="s">
        <v>1727</v>
      </c>
      <c r="B328" s="926"/>
      <c r="C328" s="1474">
        <v>65</v>
      </c>
      <c r="D328" s="926" t="s">
        <v>191</v>
      </c>
      <c r="E328" s="935" t="s">
        <v>136</v>
      </c>
      <c r="F328" s="920">
        <f>IF(I324=0,0,IF(I324&lt;=200,VLOOKUP(I324,บรรทุกสิบล้อ!$A$9:$C$208,2),(((I324-200)*บรรทุกสิบล้อ!$B$209)+บรรทุกสิบล้อ!$B$208)))</f>
        <v>1863.11</v>
      </c>
      <c r="G328" s="926" t="s">
        <v>191</v>
      </c>
      <c r="H328" s="935" t="s">
        <v>1211</v>
      </c>
      <c r="I328" s="920">
        <f>IF(C328=0,0,C328+F328)</f>
        <v>1928.11</v>
      </c>
      <c r="J328" s="926" t="s">
        <v>191</v>
      </c>
      <c r="K328" s="926" t="s">
        <v>1727</v>
      </c>
      <c r="M328" s="895">
        <f>IF(C328=0,I334,IF(C334=0,I328,MIN(J328,I334)))</f>
        <v>212.07</v>
      </c>
      <c r="N328" s="895" t="str">
        <f>IF(M328=I328,"เขตดินแดง กรุงเทพมหานคร",IF(M328=I334,"อ.หาดใหญ่ จ.สงขลา",0))</f>
        <v>อ.หาดใหญ่ จ.สงขลา</v>
      </c>
      <c r="Q328" s="895">
        <f>IF(M328=I328,C328,IF(M328=I334,C334,0))</f>
        <v>50</v>
      </c>
      <c r="R328" s="895">
        <f>IF(M328=I328,$I$324,IF(M328=I334,$I$330,0))</f>
        <v>73</v>
      </c>
      <c r="S328" s="895">
        <f>IF(M328=I328,$F$325,IF(M328=I334,$F$331,0))</f>
        <v>162.07</v>
      </c>
    </row>
    <row r="329" spans="1:19">
      <c r="A329" s="897"/>
      <c r="B329" s="897"/>
      <c r="C329" s="1457"/>
      <c r="D329" s="897"/>
      <c r="E329" s="936"/>
      <c r="F329" s="897"/>
      <c r="G329" s="897"/>
      <c r="H329" s="936"/>
      <c r="I329" s="897"/>
      <c r="J329" s="897"/>
      <c r="K329" s="926"/>
    </row>
    <row r="330" spans="1:19">
      <c r="A330" s="923" t="s">
        <v>2056</v>
      </c>
      <c r="B330" s="924"/>
      <c r="C330" s="1466"/>
      <c r="D330" s="924"/>
      <c r="E330" s="924"/>
      <c r="F330" s="924"/>
      <c r="G330" s="925" t="s">
        <v>910</v>
      </c>
      <c r="H330" s="926"/>
      <c r="I330" s="924">
        <v>73</v>
      </c>
      <c r="J330" s="927" t="s">
        <v>181</v>
      </c>
    </row>
    <row r="331" spans="1:19">
      <c r="A331" s="926" t="s">
        <v>1723</v>
      </c>
      <c r="B331" s="926"/>
      <c r="C331" s="1474">
        <v>3737.2</v>
      </c>
      <c r="D331" s="926" t="s">
        <v>1724</v>
      </c>
      <c r="E331" s="935" t="s">
        <v>136</v>
      </c>
      <c r="F331" s="920">
        <f>IF(I330=0,0,IF(I330&lt;=200,VLOOKUP(I330,บรรทุกสิบล้อ!$A$9:$C$208,2),(((I330-200)*บรรทุกสิบล้อ!$B$209)+บรรทุกสิบล้อ!$B$208)))</f>
        <v>162.07</v>
      </c>
      <c r="G331" s="926" t="s">
        <v>1724</v>
      </c>
      <c r="H331" s="935" t="s">
        <v>1211</v>
      </c>
      <c r="I331" s="920">
        <f>IF(C331=0,0,C331+F331)</f>
        <v>3899.27</v>
      </c>
      <c r="J331" s="926" t="s">
        <v>1724</v>
      </c>
    </row>
    <row r="332" spans="1:19">
      <c r="A332" s="926" t="s">
        <v>1725</v>
      </c>
      <c r="B332" s="926"/>
      <c r="C332" s="1474">
        <v>2140</v>
      </c>
      <c r="D332" s="926" t="s">
        <v>1724</v>
      </c>
      <c r="E332" s="935" t="s">
        <v>136</v>
      </c>
      <c r="F332" s="920">
        <f>IF(I330=0,0,IF(I330&lt;=200,VLOOKUP(I330,บรรทุกสิบล้อ!$A$9:$C$208,2),(((I330-200)*บรรทุกสิบล้อ!$B$209)+บรรทุกสิบล้อ!$B$208)))</f>
        <v>162.07</v>
      </c>
      <c r="G332" s="926" t="s">
        <v>1724</v>
      </c>
      <c r="H332" s="935" t="s">
        <v>1211</v>
      </c>
      <c r="I332" s="920">
        <f>IF(C332=0,0,C332+F332)</f>
        <v>2302.0700000000002</v>
      </c>
      <c r="J332" s="926" t="s">
        <v>1724</v>
      </c>
    </row>
    <row r="333" spans="1:19">
      <c r="A333" s="926" t="s">
        <v>1726</v>
      </c>
      <c r="B333" s="926"/>
      <c r="C333" s="1474">
        <v>1600</v>
      </c>
      <c r="D333" s="926" t="s">
        <v>1724</v>
      </c>
      <c r="E333" s="935" t="s">
        <v>136</v>
      </c>
      <c r="F333" s="920">
        <f>IF(I330=0,0,IF(I330&lt;=200,VLOOKUP(I330,บรรทุกสิบล้อ!$A$9:$C$208,2),(((I330-200)*บรรทุกสิบล้อ!$B$209)+บรรทุกสิบล้อ!$B$208)))</f>
        <v>162.07</v>
      </c>
      <c r="G333" s="926" t="s">
        <v>1724</v>
      </c>
      <c r="H333" s="935" t="s">
        <v>1211</v>
      </c>
      <c r="I333" s="920">
        <f>IF(C333=0,0,C333+F333)</f>
        <v>1762.07</v>
      </c>
      <c r="J333" s="926" t="s">
        <v>1724</v>
      </c>
    </row>
    <row r="334" spans="1:19">
      <c r="A334" s="926" t="s">
        <v>1727</v>
      </c>
      <c r="B334" s="926"/>
      <c r="C334" s="1474">
        <v>50</v>
      </c>
      <c r="D334" s="926" t="s">
        <v>191</v>
      </c>
      <c r="E334" s="935" t="s">
        <v>136</v>
      </c>
      <c r="F334" s="920">
        <f>IF(I330=0,0,IF(I330&lt;=200,VLOOKUP(I330,บรรทุกสิบล้อ!$A$9:$C$208,2),(((I330-200)*บรรทุกสิบล้อ!$B$209)+บรรทุกสิบล้อ!$B$208)))</f>
        <v>162.07</v>
      </c>
      <c r="G334" s="926" t="s">
        <v>191</v>
      </c>
      <c r="H334" s="935" t="s">
        <v>1211</v>
      </c>
      <c r="I334" s="920">
        <f>IF(C334=0,0,C334+F334)</f>
        <v>212.07</v>
      </c>
      <c r="J334" s="926" t="s">
        <v>191</v>
      </c>
    </row>
  </sheetData>
  <mergeCells count="17">
    <mergeCell ref="A188:A189"/>
    <mergeCell ref="B188:E189"/>
    <mergeCell ref="A284:A285"/>
    <mergeCell ref="B284:E285"/>
    <mergeCell ref="A176:A177"/>
    <mergeCell ref="B176:E177"/>
    <mergeCell ref="A64:A65"/>
    <mergeCell ref="B64:E65"/>
    <mergeCell ref="A51:A52"/>
    <mergeCell ref="B51:E52"/>
    <mergeCell ref="A38:A39"/>
    <mergeCell ref="B38:E39"/>
    <mergeCell ref="A25:A26"/>
    <mergeCell ref="B25:E26"/>
    <mergeCell ref="B9:E10"/>
    <mergeCell ref="A9:A10"/>
    <mergeCell ref="A1:J1"/>
  </mergeCells>
  <dataValidations count="1">
    <dataValidation type="list" allowBlank="1" showInputMessage="1" showErrorMessage="1" sqref="C3">
      <formula1>Rate_Oil</formula1>
    </dataValidation>
  </dataValidations>
  <printOptions horizontalCentered="1"/>
  <pageMargins left="0.59055118110236227" right="0.19685039370078741" top="0.9055118110236221" bottom="0.19685039370078741" header="0" footer="0"/>
  <pageSetup paperSize="9" scale="12" orientation="portrait" blackAndWhite="1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5"/>
  </sheetPr>
  <dimension ref="A1:IU96"/>
  <sheetViews>
    <sheetView view="pageBreakPreview" zoomScaleSheetLayoutView="100" workbookViewId="0">
      <pane xSplit="2" ySplit="10" topLeftCell="C11" activePane="bottomRight" state="frozen"/>
      <selection pane="topRight" activeCell="C1" sqref="C1"/>
      <selection pane="bottomLeft" activeCell="A10" sqref="A10"/>
      <selection pane="bottomRight" activeCell="D17" sqref="D17"/>
    </sheetView>
  </sheetViews>
  <sheetFormatPr defaultColWidth="9" defaultRowHeight="21.75"/>
  <cols>
    <col min="1" max="1" width="5.75" style="807" customWidth="1"/>
    <col min="2" max="2" width="40.625" style="667" customWidth="1"/>
    <col min="3" max="3" width="7.75" style="667" customWidth="1"/>
    <col min="4" max="4" width="10.75" style="940" customWidth="1"/>
    <col min="5" max="5" width="7.75" style="667" customWidth="1"/>
    <col min="6" max="6" width="10.75" style="667" customWidth="1"/>
    <col min="7" max="8" width="7.75" style="667" customWidth="1"/>
    <col min="9" max="9" width="8.75" style="667" customWidth="1"/>
    <col min="10" max="10" width="10.75" style="667" customWidth="1"/>
    <col min="11" max="11" width="33.75" style="667" customWidth="1"/>
    <col min="12" max="12" width="9" style="667"/>
    <col min="13" max="18" width="9" style="837"/>
    <col min="19" max="16384" width="9" style="667"/>
  </cols>
  <sheetData>
    <row r="1" spans="1:255" ht="21" customHeight="1">
      <c r="A1" s="1593" t="s">
        <v>126</v>
      </c>
      <c r="B1" s="1593"/>
      <c r="C1" s="1593"/>
      <c r="D1" s="1593"/>
      <c r="E1" s="1593"/>
      <c r="F1" s="1593"/>
      <c r="G1" s="1593"/>
      <c r="H1" s="1593"/>
      <c r="I1" s="1593"/>
      <c r="J1" s="1593"/>
      <c r="K1" s="1593"/>
      <c r="L1" s="937"/>
    </row>
    <row r="2" spans="1:255" ht="21" customHeight="1">
      <c r="A2" s="1594" t="str">
        <f>"(ใช้ราคาเฉลี่ยน้ำมันที่อำเภอเมือง ลิตรละ .."&amp;FIXED(เปรียบเทียบราคาวัสดุ!C3,2)&amp;"..บาท  หาค่าขนส่ง,ค่าดำเนินการและค่าเสื่อมราคา)"</f>
        <v>(ใช้ราคาเฉลี่ยน้ำมันที่อำเภอเมือง ลิตรละ ..22.50..บาท  หาค่าขนส่ง,ค่าดำเนินการและค่าเสื่อมราคา)</v>
      </c>
      <c r="B2" s="1594"/>
      <c r="C2" s="1594"/>
      <c r="D2" s="1594"/>
      <c r="E2" s="1594"/>
      <c r="F2" s="1594"/>
      <c r="G2" s="1594"/>
      <c r="H2" s="1594"/>
      <c r="I2" s="1594"/>
      <c r="J2" s="1594"/>
      <c r="K2" s="1594"/>
      <c r="L2" s="938"/>
    </row>
    <row r="3" spans="1:255" ht="21" customHeight="1">
      <c r="A3" s="667" t="str">
        <f>ราคาต้นทุนงานทาง!A3&amp;" "&amp;ราคาต้นทุนงานทาง!C3</f>
        <v xml:space="preserve"> </v>
      </c>
      <c r="B3" s="939"/>
      <c r="C3" s="939"/>
      <c r="D3" s="939"/>
      <c r="E3" s="939"/>
      <c r="F3" s="939"/>
      <c r="G3" s="939"/>
      <c r="H3" s="939"/>
      <c r="I3" s="939"/>
      <c r="J3" s="939"/>
      <c r="K3" s="939"/>
      <c r="L3" s="938"/>
    </row>
    <row r="4" spans="1:255" ht="21" customHeight="1">
      <c r="A4" s="667" t="str">
        <f>ราคาต้นทุนงานทาง!A4&amp;" "&amp;ราคาต้นทุนงานทาง!C4</f>
        <v>สถานที่ก่อสร้าง ตำบลควนขนุน อำเภอควนขนุน  จังหวัดพัทลุง</v>
      </c>
    </row>
    <row r="5" spans="1:255" ht="21" customHeight="1">
      <c r="A5" s="941" t="str">
        <f>ราคาต้นทุนงานทาง!A5</f>
        <v>ประมาณราคาวันที่ 30 เดือนมิถุนายน พ.ศ. 2563</v>
      </c>
      <c r="C5" s="942"/>
      <c r="D5" s="943"/>
      <c r="E5" s="942"/>
      <c r="F5" s="942"/>
      <c r="G5" s="942"/>
      <c r="H5" s="942"/>
      <c r="I5" s="942"/>
      <c r="J5" s="942"/>
      <c r="K5" s="942"/>
      <c r="L5" s="942"/>
      <c r="Q5" s="944"/>
      <c r="R5" s="944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  <c r="AH5" s="942"/>
      <c r="AI5" s="942"/>
      <c r="AJ5" s="942"/>
      <c r="AK5" s="942"/>
      <c r="AL5" s="942"/>
      <c r="AM5" s="942"/>
      <c r="AN5" s="942"/>
      <c r="AO5" s="942"/>
      <c r="AP5" s="942"/>
      <c r="AQ5" s="942"/>
      <c r="AR5" s="942"/>
      <c r="AS5" s="942"/>
      <c r="AT5" s="942"/>
      <c r="AU5" s="942"/>
      <c r="AV5" s="942"/>
      <c r="AW5" s="942"/>
      <c r="AX5" s="942"/>
      <c r="AY5" s="942"/>
      <c r="AZ5" s="942"/>
      <c r="BA5" s="942"/>
      <c r="BB5" s="942"/>
      <c r="BC5" s="942"/>
      <c r="BD5" s="942"/>
      <c r="BE5" s="942"/>
      <c r="BF5" s="942"/>
      <c r="BG5" s="942"/>
      <c r="BH5" s="942"/>
      <c r="BI5" s="942"/>
      <c r="BJ5" s="942"/>
      <c r="BK5" s="942"/>
      <c r="BL5" s="942"/>
      <c r="BM5" s="942"/>
      <c r="BN5" s="942"/>
      <c r="BO5" s="942"/>
      <c r="BP5" s="942"/>
      <c r="BQ5" s="942"/>
      <c r="BR5" s="942"/>
      <c r="BS5" s="942"/>
      <c r="BT5" s="942"/>
      <c r="BU5" s="942"/>
      <c r="BV5" s="942"/>
      <c r="BW5" s="942"/>
      <c r="BX5" s="942"/>
      <c r="BY5" s="942"/>
      <c r="BZ5" s="942"/>
      <c r="CA5" s="942"/>
      <c r="CB5" s="942"/>
      <c r="CC5" s="942"/>
      <c r="CD5" s="942"/>
      <c r="CE5" s="942"/>
      <c r="CF5" s="942"/>
      <c r="CG5" s="942"/>
      <c r="CH5" s="942"/>
      <c r="CI5" s="942"/>
      <c r="CJ5" s="942"/>
      <c r="CK5" s="942"/>
      <c r="CL5" s="942"/>
      <c r="CM5" s="942"/>
      <c r="CN5" s="942"/>
      <c r="CO5" s="942"/>
      <c r="CP5" s="942"/>
      <c r="CQ5" s="942"/>
      <c r="CR5" s="942"/>
      <c r="CS5" s="942"/>
      <c r="CT5" s="942"/>
      <c r="CU5" s="942"/>
      <c r="CV5" s="942"/>
      <c r="CW5" s="942"/>
      <c r="CX5" s="942"/>
      <c r="CY5" s="942"/>
      <c r="CZ5" s="942"/>
      <c r="DA5" s="942"/>
      <c r="DB5" s="942"/>
      <c r="DC5" s="942"/>
      <c r="DD5" s="942"/>
      <c r="DE5" s="942"/>
      <c r="DF5" s="942"/>
      <c r="DG5" s="942"/>
      <c r="DH5" s="942"/>
      <c r="DI5" s="942"/>
      <c r="DJ5" s="942"/>
      <c r="DK5" s="942"/>
      <c r="DL5" s="942"/>
      <c r="DM5" s="942"/>
      <c r="DN5" s="942"/>
      <c r="DO5" s="942"/>
      <c r="DP5" s="942"/>
      <c r="DQ5" s="942"/>
      <c r="DR5" s="942"/>
      <c r="DS5" s="942"/>
      <c r="DT5" s="942"/>
      <c r="DU5" s="942"/>
      <c r="DV5" s="942"/>
      <c r="DW5" s="942"/>
      <c r="DX5" s="942"/>
      <c r="DY5" s="942"/>
      <c r="DZ5" s="942"/>
      <c r="EA5" s="942"/>
      <c r="EB5" s="942"/>
      <c r="EC5" s="942"/>
      <c r="ED5" s="942"/>
      <c r="EE5" s="942"/>
      <c r="EF5" s="942"/>
      <c r="EG5" s="942"/>
      <c r="EH5" s="942"/>
      <c r="EI5" s="942"/>
      <c r="EJ5" s="942"/>
      <c r="EK5" s="942"/>
      <c r="EL5" s="942"/>
      <c r="EM5" s="942"/>
      <c r="EN5" s="942"/>
      <c r="EO5" s="942"/>
      <c r="EP5" s="942"/>
      <c r="EQ5" s="942"/>
      <c r="ER5" s="942"/>
      <c r="ES5" s="942"/>
      <c r="ET5" s="942"/>
      <c r="EU5" s="942"/>
      <c r="EV5" s="942"/>
      <c r="EW5" s="942"/>
      <c r="EX5" s="942"/>
      <c r="EY5" s="942"/>
      <c r="EZ5" s="942"/>
      <c r="FA5" s="942"/>
      <c r="FB5" s="942"/>
      <c r="FC5" s="942"/>
      <c r="FD5" s="942"/>
      <c r="FE5" s="942"/>
      <c r="FF5" s="942"/>
      <c r="FG5" s="942"/>
      <c r="FH5" s="942"/>
      <c r="FI5" s="942"/>
      <c r="FJ5" s="942"/>
      <c r="FK5" s="942"/>
      <c r="FL5" s="942"/>
      <c r="FM5" s="942"/>
      <c r="FN5" s="942"/>
      <c r="FO5" s="942"/>
      <c r="FP5" s="942"/>
      <c r="FQ5" s="942"/>
      <c r="FR5" s="942"/>
      <c r="FS5" s="942"/>
      <c r="FT5" s="942"/>
      <c r="FU5" s="942"/>
      <c r="FV5" s="942"/>
      <c r="FW5" s="942"/>
      <c r="FX5" s="942"/>
      <c r="FY5" s="942"/>
      <c r="FZ5" s="942"/>
      <c r="GA5" s="942"/>
      <c r="GB5" s="942"/>
      <c r="GC5" s="942"/>
      <c r="GD5" s="942"/>
      <c r="GE5" s="942"/>
      <c r="GF5" s="942"/>
      <c r="GG5" s="942"/>
      <c r="GH5" s="942"/>
      <c r="GI5" s="942"/>
      <c r="GJ5" s="942"/>
      <c r="GK5" s="942"/>
      <c r="GL5" s="942"/>
      <c r="GM5" s="942"/>
      <c r="GN5" s="942"/>
      <c r="GO5" s="942"/>
      <c r="GP5" s="942"/>
      <c r="GQ5" s="942"/>
      <c r="GR5" s="942"/>
      <c r="GS5" s="942"/>
      <c r="GT5" s="942"/>
      <c r="GU5" s="942"/>
      <c r="GV5" s="942"/>
      <c r="GW5" s="942"/>
      <c r="GX5" s="942"/>
      <c r="GY5" s="942"/>
      <c r="GZ5" s="942"/>
      <c r="HA5" s="942"/>
      <c r="HB5" s="942"/>
      <c r="HC5" s="942"/>
      <c r="HD5" s="942"/>
      <c r="HE5" s="942"/>
      <c r="HF5" s="942"/>
      <c r="HG5" s="942"/>
      <c r="HH5" s="942"/>
      <c r="HI5" s="942"/>
      <c r="HJ5" s="942"/>
      <c r="HK5" s="942"/>
      <c r="HL5" s="942"/>
      <c r="HM5" s="942"/>
      <c r="HN5" s="942"/>
      <c r="HO5" s="942"/>
      <c r="HP5" s="942"/>
      <c r="HQ5" s="942"/>
      <c r="HR5" s="942"/>
      <c r="HS5" s="942"/>
      <c r="HT5" s="942"/>
      <c r="HU5" s="942"/>
      <c r="HV5" s="942"/>
      <c r="HW5" s="942"/>
      <c r="HX5" s="942"/>
      <c r="HY5" s="942"/>
      <c r="HZ5" s="942"/>
      <c r="IA5" s="942"/>
      <c r="IB5" s="942"/>
      <c r="IC5" s="942"/>
      <c r="ID5" s="942"/>
      <c r="IE5" s="942"/>
      <c r="IF5" s="942"/>
      <c r="IG5" s="942"/>
      <c r="IH5" s="942"/>
      <c r="II5" s="942"/>
      <c r="IJ5" s="942"/>
      <c r="IK5" s="942"/>
      <c r="IL5" s="942"/>
      <c r="IM5" s="942"/>
      <c r="IN5" s="942"/>
      <c r="IO5" s="942"/>
      <c r="IP5" s="942"/>
      <c r="IQ5" s="942"/>
      <c r="IR5" s="942"/>
      <c r="IS5" s="942"/>
      <c r="IT5" s="942"/>
      <c r="IU5" s="942"/>
    </row>
    <row r="7" spans="1:255" ht="21" customHeight="1">
      <c r="A7" s="1595" t="s">
        <v>127</v>
      </c>
      <c r="B7" s="1595" t="s">
        <v>128</v>
      </c>
      <c r="C7" s="1595" t="s">
        <v>2</v>
      </c>
      <c r="D7" s="945" t="s">
        <v>129</v>
      </c>
      <c r="E7" s="946"/>
      <c r="F7" s="946"/>
      <c r="G7" s="946"/>
      <c r="H7" s="946"/>
      <c r="I7" s="947"/>
      <c r="J7" s="947"/>
      <c r="K7" s="1595" t="s">
        <v>130</v>
      </c>
    </row>
    <row r="8" spans="1:255" ht="21" customHeight="1">
      <c r="A8" s="1596"/>
      <c r="B8" s="1596"/>
      <c r="C8" s="1596"/>
      <c r="D8" s="948"/>
      <c r="E8" s="1598" t="s">
        <v>131</v>
      </c>
      <c r="F8" s="1599"/>
      <c r="G8" s="1599"/>
      <c r="H8" s="1600"/>
      <c r="I8" s="949"/>
      <c r="J8" s="949"/>
      <c r="K8" s="1596"/>
    </row>
    <row r="9" spans="1:255" ht="21" customHeight="1">
      <c r="A9" s="1596"/>
      <c r="B9" s="1596"/>
      <c r="C9" s="1596"/>
      <c r="D9" s="782" t="s">
        <v>132</v>
      </c>
      <c r="E9" s="950" t="s">
        <v>133</v>
      </c>
      <c r="F9" s="950" t="s">
        <v>134</v>
      </c>
      <c r="G9" s="950" t="s">
        <v>135</v>
      </c>
      <c r="H9" s="950" t="s">
        <v>26</v>
      </c>
      <c r="I9" s="950" t="s">
        <v>136</v>
      </c>
      <c r="J9" s="950" t="s">
        <v>26</v>
      </c>
      <c r="K9" s="1596"/>
    </row>
    <row r="10" spans="1:255" ht="21" customHeight="1">
      <c r="A10" s="1597"/>
      <c r="B10" s="1597"/>
      <c r="C10" s="1597"/>
      <c r="D10" s="790" t="s">
        <v>137</v>
      </c>
      <c r="E10" s="951" t="s">
        <v>138</v>
      </c>
      <c r="F10" s="951" t="s">
        <v>138</v>
      </c>
      <c r="G10" s="951" t="s">
        <v>138</v>
      </c>
      <c r="H10" s="951" t="s">
        <v>138</v>
      </c>
      <c r="I10" s="951" t="s">
        <v>137</v>
      </c>
      <c r="J10" s="951" t="s">
        <v>137</v>
      </c>
      <c r="K10" s="1597"/>
    </row>
    <row r="11" spans="1:255" ht="21" customHeight="1">
      <c r="A11" s="952">
        <v>1</v>
      </c>
      <c r="B11" s="953" t="s">
        <v>139</v>
      </c>
      <c r="C11" s="954" t="s">
        <v>6</v>
      </c>
      <c r="D11" s="955">
        <f>เปรียบเทียบราคาวัสดุ!B22</f>
        <v>50</v>
      </c>
      <c r="E11" s="956">
        <f>เปรียบเทียบราคาวัสดุ!E22</f>
        <v>21</v>
      </c>
      <c r="F11" s="955">
        <v>0</v>
      </c>
      <c r="G11" s="955">
        <v>0</v>
      </c>
      <c r="H11" s="955">
        <f>SUM(E11:G11)</f>
        <v>21</v>
      </c>
      <c r="I11" s="957">
        <f>เปรียบเทียบราคาวัสดุ!H22</f>
        <v>66.52</v>
      </c>
      <c r="J11" s="957">
        <f>D11+I11</f>
        <v>116.52</v>
      </c>
      <c r="K11" s="958" t="str">
        <f>เปรียบเทียบราคาวัสดุ!C21</f>
        <v>บ้านควนน้อย อ.ควนขนุน จ.พัทลุง</v>
      </c>
    </row>
    <row r="12" spans="1:255" ht="21" customHeight="1">
      <c r="A12" s="959">
        <v>2</v>
      </c>
      <c r="B12" s="960" t="s">
        <v>140</v>
      </c>
      <c r="C12" s="961" t="s">
        <v>6</v>
      </c>
      <c r="D12" s="957">
        <f>เปรียบเทียบราคาวัสดุ!B35</f>
        <v>150</v>
      </c>
      <c r="E12" s="962">
        <f>เปรียบเทียบราคาวัสดุ!E35</f>
        <v>38</v>
      </c>
      <c r="F12" s="957">
        <v>0</v>
      </c>
      <c r="G12" s="957">
        <v>0</v>
      </c>
      <c r="H12" s="957">
        <f>SUM(E12:G12)</f>
        <v>38</v>
      </c>
      <c r="I12" s="957">
        <f>เปรียบเทียบราคาวัสดุ!H35</f>
        <v>118.96</v>
      </c>
      <c r="J12" s="957">
        <f>D12+I12</f>
        <v>268.95999999999998</v>
      </c>
      <c r="K12" s="963" t="str">
        <f>เปรียบเทียบราคาวัสดุ!C34</f>
        <v>คลองลำ อ.เมือง จ.พัทลุง</v>
      </c>
    </row>
    <row r="13" spans="1:255" s="744" customFormat="1">
      <c r="A13" s="959">
        <v>3</v>
      </c>
      <c r="B13" s="983" t="s">
        <v>172</v>
      </c>
      <c r="C13" s="959" t="s">
        <v>6</v>
      </c>
      <c r="D13" s="962">
        <f>เปรียบเทียบราคาวัสดุ!B48</f>
        <v>373.83</v>
      </c>
      <c r="E13" s="957">
        <f>เปรียบเทียบราคาวัสดุ!E48</f>
        <v>20</v>
      </c>
      <c r="F13" s="957">
        <v>0</v>
      </c>
      <c r="G13" s="957">
        <v>0</v>
      </c>
      <c r="H13" s="957">
        <f>SUM(E13:G13)</f>
        <v>20</v>
      </c>
      <c r="I13" s="957">
        <f>เปรียบเทียบราคาวัสดุ!H48</f>
        <v>63.44</v>
      </c>
      <c r="J13" s="957">
        <f>D13+I13</f>
        <v>437.27</v>
      </c>
      <c r="K13" s="975" t="str">
        <f>เปรียบเทียบราคาวัสดุ!C47</f>
        <v>สำนักงานพาณิชย์ จังหวัดพัทลุง</v>
      </c>
      <c r="M13" s="837"/>
      <c r="N13" s="837"/>
      <c r="O13" s="837"/>
      <c r="P13" s="837"/>
      <c r="Q13" s="972"/>
      <c r="R13" s="972"/>
    </row>
    <row r="14" spans="1:255" s="744" customFormat="1">
      <c r="A14" s="959">
        <v>4</v>
      </c>
      <c r="B14" s="983" t="s">
        <v>173</v>
      </c>
      <c r="C14" s="959" t="s">
        <v>6</v>
      </c>
      <c r="D14" s="962">
        <f>เปรียบเทียบราคาวัสดุ!B61</f>
        <v>467.29</v>
      </c>
      <c r="E14" s="957">
        <f>เปรียบเทียบราคาวัสดุ!E61</f>
        <v>20</v>
      </c>
      <c r="F14" s="957">
        <v>0</v>
      </c>
      <c r="G14" s="957">
        <v>0</v>
      </c>
      <c r="H14" s="957">
        <f>SUM(E14:G14)</f>
        <v>20</v>
      </c>
      <c r="I14" s="957">
        <f>เปรียบเทียบราคาวัสดุ!H61</f>
        <v>63.44</v>
      </c>
      <c r="J14" s="957">
        <f>D14+I14</f>
        <v>530.73</v>
      </c>
      <c r="K14" s="975" t="str">
        <f>เปรียบเทียบราคาวัสดุ!C60</f>
        <v>สำนักงานพาณิชย์ จังหวัดพัทลุง</v>
      </c>
      <c r="M14" s="837"/>
      <c r="N14" s="837"/>
      <c r="O14" s="837"/>
      <c r="P14" s="837"/>
      <c r="Q14" s="972"/>
      <c r="R14" s="972"/>
    </row>
    <row r="15" spans="1:255" ht="21" customHeight="1">
      <c r="A15" s="959">
        <v>5</v>
      </c>
      <c r="B15" s="960" t="s">
        <v>141</v>
      </c>
      <c r="C15" s="961" t="s">
        <v>6</v>
      </c>
      <c r="D15" s="957">
        <f>เปรียบเทียบราคาวัสดุ!B75</f>
        <v>55</v>
      </c>
      <c r="E15" s="962">
        <f>เปรียบเทียบราคาวัสดุ!E75</f>
        <v>23</v>
      </c>
      <c r="F15" s="957">
        <v>0</v>
      </c>
      <c r="G15" s="957">
        <v>0</v>
      </c>
      <c r="H15" s="957">
        <f>SUM(E15:G15)</f>
        <v>23</v>
      </c>
      <c r="I15" s="957">
        <f>เปรียบเทียบราคาวัสดุ!H75</f>
        <v>72.680000000000007</v>
      </c>
      <c r="J15" s="957">
        <f>D15+I15</f>
        <v>127.68</v>
      </c>
      <c r="K15" s="963" t="str">
        <f>เปรียบเทียบราคาวัสดุ!C74</f>
        <v>บ้านห้วยศรีเกษร อ.ป่าพะยอม จ.พัทลุง</v>
      </c>
    </row>
    <row r="16" spans="1:255" ht="21" customHeight="1">
      <c r="A16" s="959">
        <v>6</v>
      </c>
      <c r="B16" s="960" t="s">
        <v>142</v>
      </c>
      <c r="C16" s="961"/>
      <c r="D16" s="957"/>
      <c r="E16" s="962"/>
      <c r="F16" s="964"/>
      <c r="G16" s="957"/>
      <c r="H16" s="957"/>
      <c r="I16" s="957"/>
      <c r="J16" s="957"/>
      <c r="K16" s="963"/>
    </row>
    <row r="17" spans="1:18" ht="21" customHeight="1">
      <c r="A17" s="961"/>
      <c r="B17" s="960" t="s">
        <v>143</v>
      </c>
      <c r="C17" s="961" t="s">
        <v>6</v>
      </c>
      <c r="D17" s="957">
        <f>เปรียบเทียบราคาวัสดุ!B97</f>
        <v>240</v>
      </c>
      <c r="E17" s="962">
        <f>เปรียบเทียบราคาวัสดุ!R88</f>
        <v>20</v>
      </c>
      <c r="F17" s="957">
        <v>0</v>
      </c>
      <c r="G17" s="957">
        <v>0</v>
      </c>
      <c r="H17" s="957">
        <f>SUM(E17:G17)</f>
        <v>20</v>
      </c>
      <c r="I17" s="957">
        <f>เปรียบเทียบราคาวัสดุ!S88</f>
        <v>63.44</v>
      </c>
      <c r="J17" s="957">
        <f>D17+I17</f>
        <v>303.44</v>
      </c>
      <c r="K17" s="963" t="str">
        <f>เปรียบเทียบราคาวัสดุ!M91</f>
        <v>กฤษณ์ศิลาพร ม.5 ต.พนมวังก์ อ.ควนขนุน จ.พัทลุง</v>
      </c>
      <c r="L17" s="837"/>
    </row>
    <row r="18" spans="1:18" ht="21" customHeight="1">
      <c r="A18" s="961"/>
      <c r="B18" s="960" t="s">
        <v>144</v>
      </c>
      <c r="C18" s="961" t="s">
        <v>6</v>
      </c>
      <c r="D18" s="957">
        <f>เปรียบเทียบราคาวัสดุ!Q89</f>
        <v>242.99</v>
      </c>
      <c r="E18" s="962">
        <f>เปรียบเทียบราคาวัสดุ!R89</f>
        <v>20</v>
      </c>
      <c r="F18" s="957">
        <v>0</v>
      </c>
      <c r="G18" s="957">
        <v>0</v>
      </c>
      <c r="H18" s="957">
        <f t="shared" ref="H18:H23" si="0">SUM(E18:G18)</f>
        <v>20</v>
      </c>
      <c r="I18" s="957">
        <f>เปรียบเทียบราคาวัสดุ!S89</f>
        <v>63.44</v>
      </c>
      <c r="J18" s="957">
        <f t="shared" ref="J18:J23" si="1">D18+I18</f>
        <v>306.43</v>
      </c>
      <c r="K18" s="963" t="str">
        <f>เปรียบเทียบราคาวัสดุ!M89</f>
        <v>สำนักงานพาณิชย์ จังหวัดพัทลุง</v>
      </c>
      <c r="L18" s="837"/>
    </row>
    <row r="19" spans="1:18" ht="21" customHeight="1">
      <c r="A19" s="961"/>
      <c r="B19" s="960" t="s">
        <v>145</v>
      </c>
      <c r="C19" s="961" t="s">
        <v>6</v>
      </c>
      <c r="D19" s="957">
        <f>เปรียบเทียบราคาวัสดุ!Q90</f>
        <v>317.76</v>
      </c>
      <c r="E19" s="962">
        <f>เปรียบเทียบราคาวัสดุ!R90</f>
        <v>20</v>
      </c>
      <c r="F19" s="957">
        <v>0</v>
      </c>
      <c r="G19" s="957">
        <v>0</v>
      </c>
      <c r="H19" s="957">
        <f t="shared" si="0"/>
        <v>20</v>
      </c>
      <c r="I19" s="957">
        <f>เปรียบเทียบราคาวัสดุ!S90</f>
        <v>63.44</v>
      </c>
      <c r="J19" s="957">
        <f t="shared" si="1"/>
        <v>381.2</v>
      </c>
      <c r="K19" s="963" t="str">
        <f>เปรียบเทียบราคาวัสดุ!M90</f>
        <v>สำนักงานพาณิชย์ จังหวัดพัทลุง</v>
      </c>
      <c r="L19" s="837"/>
    </row>
    <row r="20" spans="1:18" ht="21" customHeight="1">
      <c r="A20" s="961"/>
      <c r="B20" s="960" t="s">
        <v>146</v>
      </c>
      <c r="C20" s="961" t="s">
        <v>6</v>
      </c>
      <c r="D20" s="957">
        <f>เปรียบเทียบราคาวัสดุ!Q91</f>
        <v>380</v>
      </c>
      <c r="E20" s="962">
        <f>เปรียบเทียบราคาวัสดุ!R91</f>
        <v>20</v>
      </c>
      <c r="F20" s="957">
        <v>0</v>
      </c>
      <c r="G20" s="957">
        <v>0</v>
      </c>
      <c r="H20" s="957">
        <f t="shared" si="0"/>
        <v>20</v>
      </c>
      <c r="I20" s="957">
        <f>เปรียบเทียบราคาวัสดุ!S91</f>
        <v>63.44</v>
      </c>
      <c r="J20" s="957">
        <f t="shared" si="1"/>
        <v>443.44</v>
      </c>
      <c r="K20" s="963" t="str">
        <f>เปรียบเทียบราคาวัสดุ!M91</f>
        <v>กฤษณ์ศิลาพร ม.5 ต.พนมวังก์ อ.ควนขนุน จ.พัทลุง</v>
      </c>
      <c r="L20" s="837"/>
    </row>
    <row r="21" spans="1:18" ht="21" customHeight="1">
      <c r="A21" s="961"/>
      <c r="B21" s="960" t="s">
        <v>147</v>
      </c>
      <c r="C21" s="961" t="s">
        <v>6</v>
      </c>
      <c r="D21" s="957">
        <f>เปรียบเทียบราคาวัสดุ!Q92</f>
        <v>299.07</v>
      </c>
      <c r="E21" s="962">
        <f>เปรียบเทียบราคาวัสดุ!R92</f>
        <v>20</v>
      </c>
      <c r="F21" s="957">
        <v>0</v>
      </c>
      <c r="G21" s="957">
        <v>0</v>
      </c>
      <c r="H21" s="957">
        <f t="shared" si="0"/>
        <v>20</v>
      </c>
      <c r="I21" s="957">
        <f>เปรียบเทียบราคาวัสดุ!S92</f>
        <v>63.44</v>
      </c>
      <c r="J21" s="957">
        <f t="shared" si="1"/>
        <v>362.51</v>
      </c>
      <c r="K21" s="963" t="str">
        <f>เปรียบเทียบราคาวัสดุ!M92</f>
        <v>สำนักงานพาณิชย์ จังหวัดพัทลุง</v>
      </c>
      <c r="L21" s="837"/>
    </row>
    <row r="22" spans="1:18">
      <c r="A22" s="961"/>
      <c r="B22" s="960" t="s">
        <v>148</v>
      </c>
      <c r="C22" s="961" t="s">
        <v>6</v>
      </c>
      <c r="D22" s="957">
        <f>เปรียบเทียบราคาวัสดุ!Q93</f>
        <v>420.56</v>
      </c>
      <c r="E22" s="962">
        <f>เปรียบเทียบราคาวัสดุ!R93</f>
        <v>20</v>
      </c>
      <c r="F22" s="957">
        <v>0</v>
      </c>
      <c r="G22" s="957">
        <v>0</v>
      </c>
      <c r="H22" s="957">
        <f t="shared" si="0"/>
        <v>20</v>
      </c>
      <c r="I22" s="957">
        <f>เปรียบเทียบราคาวัสดุ!S93</f>
        <v>63.44</v>
      </c>
      <c r="J22" s="957">
        <f t="shared" si="1"/>
        <v>484</v>
      </c>
      <c r="K22" s="963" t="str">
        <f>เปรียบเทียบราคาวัสดุ!M93</f>
        <v>สำนักงานพาณิชย์ จังหวัดพัทลุง</v>
      </c>
      <c r="L22" s="837"/>
    </row>
    <row r="23" spans="1:18">
      <c r="A23" s="961"/>
      <c r="B23" s="960" t="s">
        <v>149</v>
      </c>
      <c r="C23" s="961" t="s">
        <v>6</v>
      </c>
      <c r="D23" s="957">
        <f>เปรียบเทียบราคาวัสดุ!Q94</f>
        <v>308.41000000000003</v>
      </c>
      <c r="E23" s="962">
        <f>เปรียบเทียบราคาวัสดุ!R94</f>
        <v>20</v>
      </c>
      <c r="F23" s="957">
        <v>0</v>
      </c>
      <c r="G23" s="957">
        <v>0</v>
      </c>
      <c r="H23" s="957">
        <f t="shared" si="0"/>
        <v>20</v>
      </c>
      <c r="I23" s="957">
        <f>เปรียบเทียบราคาวัสดุ!S94</f>
        <v>63.44</v>
      </c>
      <c r="J23" s="957">
        <f t="shared" si="1"/>
        <v>371.85</v>
      </c>
      <c r="K23" s="963" t="str">
        <f>เปรียบเทียบราคาวัสดุ!M94</f>
        <v>สำนักงานพาณิชย์ จังหวัดพัทลุง</v>
      </c>
      <c r="L23" s="837"/>
    </row>
    <row r="24" spans="1:18">
      <c r="A24" s="961"/>
      <c r="B24" s="960" t="s">
        <v>150</v>
      </c>
      <c r="C24" s="961" t="s">
        <v>6</v>
      </c>
      <c r="D24" s="962">
        <f>ROUND(0.5*D18+0.25*D19+0.1*D20+0.15*D21,0)</f>
        <v>284</v>
      </c>
      <c r="E24" s="962">
        <f>E23</f>
        <v>20</v>
      </c>
      <c r="F24" s="957">
        <v>0</v>
      </c>
      <c r="G24" s="957">
        <v>0</v>
      </c>
      <c r="H24" s="957">
        <f>SUM(E24:G24)</f>
        <v>20</v>
      </c>
      <c r="I24" s="957">
        <f>I23</f>
        <v>63.44</v>
      </c>
      <c r="J24" s="957">
        <f>D24+I24</f>
        <v>347.44</v>
      </c>
      <c r="K24" s="963" t="str">
        <f>K23</f>
        <v>สำนักงานพาณิชย์ จังหวัดพัทลุง</v>
      </c>
    </row>
    <row r="25" spans="1:18" s="744" customFormat="1">
      <c r="A25" s="959"/>
      <c r="B25" s="983" t="s">
        <v>174</v>
      </c>
      <c r="C25" s="959" t="s">
        <v>6</v>
      </c>
      <c r="D25" s="962">
        <f>D20</f>
        <v>380</v>
      </c>
      <c r="E25" s="962">
        <f>E20</f>
        <v>20</v>
      </c>
      <c r="F25" s="962">
        <v>0</v>
      </c>
      <c r="G25" s="962">
        <v>0</v>
      </c>
      <c r="H25" s="957">
        <f>SUM(E25:G25)</f>
        <v>20</v>
      </c>
      <c r="I25" s="957">
        <f>I20</f>
        <v>63.44</v>
      </c>
      <c r="J25" s="957">
        <f>D25+I25</f>
        <v>443.44</v>
      </c>
      <c r="K25" s="975" t="str">
        <f>K20</f>
        <v>กฤษณ์ศิลาพร ม.5 ต.พนมวังก์ อ.ควนขนุน จ.พัทลุง</v>
      </c>
      <c r="M25" s="837"/>
      <c r="N25" s="837"/>
      <c r="O25" s="837"/>
      <c r="P25" s="837"/>
      <c r="Q25" s="972"/>
      <c r="R25" s="972"/>
    </row>
    <row r="26" spans="1:18">
      <c r="A26" s="965">
        <v>7</v>
      </c>
      <c r="B26" s="966" t="s">
        <v>5</v>
      </c>
      <c r="C26" s="965"/>
      <c r="D26" s="981"/>
      <c r="E26" s="981"/>
      <c r="F26" s="967"/>
      <c r="G26" s="967"/>
      <c r="H26" s="967"/>
      <c r="I26" s="967"/>
      <c r="J26" s="967"/>
      <c r="K26" s="968"/>
    </row>
    <row r="27" spans="1:18">
      <c r="A27" s="965"/>
      <c r="B27" s="966" t="s">
        <v>1237</v>
      </c>
      <c r="C27" s="965"/>
      <c r="D27" s="967"/>
      <c r="E27" s="967"/>
      <c r="F27" s="967"/>
      <c r="G27" s="967"/>
      <c r="H27" s="967"/>
      <c r="I27" s="967"/>
      <c r="J27" s="967"/>
      <c r="K27" s="968"/>
    </row>
    <row r="28" spans="1:18">
      <c r="A28" s="961"/>
      <c r="B28" s="960" t="s">
        <v>151</v>
      </c>
      <c r="C28" s="961" t="s">
        <v>92</v>
      </c>
      <c r="D28" s="957">
        <f>เปรียบเทียบราคาวัสดุ!Q108</f>
        <v>22299.4</v>
      </c>
      <c r="E28" s="957">
        <f>เปรียบเทียบราคาวัสดุ!R108</f>
        <v>20</v>
      </c>
      <c r="F28" s="957">
        <v>0</v>
      </c>
      <c r="G28" s="957">
        <v>0</v>
      </c>
      <c r="H28" s="957">
        <f t="shared" ref="H28:H33" si="2">SUM(E28:G28)</f>
        <v>20</v>
      </c>
      <c r="I28" s="957">
        <f>เปรียบเทียบราคาวัสดุ!S108</f>
        <v>27.61</v>
      </c>
      <c r="J28" s="957">
        <f t="shared" ref="J28:J33" si="3">D28+I28</f>
        <v>22327.010000000002</v>
      </c>
      <c r="K28" s="963" t="str">
        <f>เปรียบเทียบราคาวัสดุ!M108</f>
        <v>สำนักดัชนีเศรษฐกิจการค้า จังหวัดพัทลุง</v>
      </c>
    </row>
    <row r="29" spans="1:18">
      <c r="A29" s="961"/>
      <c r="B29" s="960" t="s">
        <v>152</v>
      </c>
      <c r="C29" s="961" t="s">
        <v>92</v>
      </c>
      <c r="D29" s="957">
        <f>เปรียบเทียบราคาวัสดุ!Q109</f>
        <v>21326.77</v>
      </c>
      <c r="E29" s="957">
        <f>เปรียบเทียบราคาวัสดุ!R109</f>
        <v>20</v>
      </c>
      <c r="F29" s="957">
        <v>0</v>
      </c>
      <c r="G29" s="957">
        <v>0</v>
      </c>
      <c r="H29" s="957">
        <f t="shared" si="2"/>
        <v>20</v>
      </c>
      <c r="I29" s="957">
        <f>เปรียบเทียบราคาวัสดุ!S109</f>
        <v>27.61</v>
      </c>
      <c r="J29" s="957">
        <f t="shared" si="3"/>
        <v>21354.38</v>
      </c>
      <c r="K29" s="963" t="str">
        <f>เปรียบเทียบราคาวัสดุ!M109</f>
        <v>สำนักดัชนีเศรษฐกิจการค้า จังหวัดพัทลุง</v>
      </c>
    </row>
    <row r="30" spans="1:18">
      <c r="A30" s="961"/>
      <c r="B30" s="960" t="s">
        <v>153</v>
      </c>
      <c r="C30" s="961" t="s">
        <v>92</v>
      </c>
      <c r="D30" s="957">
        <f>เปรียบเทียบราคาวัสดุ!Q110</f>
        <v>21138.69</v>
      </c>
      <c r="E30" s="957">
        <f>เปรียบเทียบราคาวัสดุ!R110</f>
        <v>20</v>
      </c>
      <c r="F30" s="957">
        <v>0</v>
      </c>
      <c r="G30" s="957">
        <v>0</v>
      </c>
      <c r="H30" s="957">
        <f t="shared" si="2"/>
        <v>20</v>
      </c>
      <c r="I30" s="957">
        <f>เปรียบเทียบราคาวัสดุ!S110</f>
        <v>27.61</v>
      </c>
      <c r="J30" s="957">
        <f t="shared" si="3"/>
        <v>21166.3</v>
      </c>
      <c r="K30" s="963" t="str">
        <f>เปรียบเทียบราคาวัสดุ!M110</f>
        <v>สำนักดัชนีเศรษฐกิจการค้า จังหวัดพัทลุง</v>
      </c>
    </row>
    <row r="31" spans="1:18">
      <c r="A31" s="961"/>
      <c r="B31" s="960" t="s">
        <v>154</v>
      </c>
      <c r="C31" s="961" t="s">
        <v>92</v>
      </c>
      <c r="D31" s="957">
        <f>เปรียบเทียบราคาวัสดุ!Q111</f>
        <v>21670.080000000002</v>
      </c>
      <c r="E31" s="957">
        <f>เปรียบเทียบราคาวัสดุ!R111</f>
        <v>20</v>
      </c>
      <c r="F31" s="957">
        <v>0</v>
      </c>
      <c r="G31" s="957">
        <v>0</v>
      </c>
      <c r="H31" s="957">
        <f t="shared" si="2"/>
        <v>20</v>
      </c>
      <c r="I31" s="957">
        <f>เปรียบเทียบราคาวัสดุ!S111</f>
        <v>27.61</v>
      </c>
      <c r="J31" s="957">
        <f t="shared" si="3"/>
        <v>21697.690000000002</v>
      </c>
      <c r="K31" s="963" t="str">
        <f>เปรียบเทียบราคาวัสดุ!M111</f>
        <v>สำนักดัชนีเศรษฐกิจการค้า จังหวัดพัทลุง</v>
      </c>
    </row>
    <row r="32" spans="1:18">
      <c r="A32" s="961"/>
      <c r="B32" s="960" t="s">
        <v>155</v>
      </c>
      <c r="C32" s="961" t="s">
        <v>92</v>
      </c>
      <c r="D32" s="957">
        <f>เปรียบเทียบราคาวัสดุ!Q112</f>
        <v>24498.36</v>
      </c>
      <c r="E32" s="957">
        <f>เปรียบเทียบราคาวัสดุ!R112</f>
        <v>20</v>
      </c>
      <c r="F32" s="957">
        <v>0</v>
      </c>
      <c r="G32" s="957">
        <v>0</v>
      </c>
      <c r="H32" s="957">
        <f t="shared" si="2"/>
        <v>20</v>
      </c>
      <c r="I32" s="957">
        <f>เปรียบเทียบราคาวัสดุ!S112</f>
        <v>27.61</v>
      </c>
      <c r="J32" s="957">
        <f t="shared" si="3"/>
        <v>24525.97</v>
      </c>
      <c r="K32" s="963" t="str">
        <f>เปรียบเทียบราคาวัสดุ!M112</f>
        <v>สำนักดัชนีเศรษฐกิจการค้า จังหวัดพัทลุง</v>
      </c>
    </row>
    <row r="33" spans="1:11">
      <c r="A33" s="961"/>
      <c r="B33" s="960" t="s">
        <v>156</v>
      </c>
      <c r="C33" s="961" t="s">
        <v>92</v>
      </c>
      <c r="D33" s="957">
        <f>เปรียบเทียบราคาวัสดุ!Q113</f>
        <v>23576.17</v>
      </c>
      <c r="E33" s="957">
        <f>เปรียบเทียบราคาวัสดุ!R113</f>
        <v>20</v>
      </c>
      <c r="F33" s="957">
        <v>0</v>
      </c>
      <c r="G33" s="957">
        <v>0</v>
      </c>
      <c r="H33" s="957">
        <f t="shared" si="2"/>
        <v>20</v>
      </c>
      <c r="I33" s="957">
        <f>เปรียบเทียบราคาวัสดุ!S113</f>
        <v>27.61</v>
      </c>
      <c r="J33" s="957">
        <f t="shared" si="3"/>
        <v>23603.78</v>
      </c>
      <c r="K33" s="963" t="str">
        <f>เปรียบเทียบราคาวัสดุ!M113</f>
        <v>สำนักดัชนีเศรษฐกิจการค้า จังหวัดพัทลุง</v>
      </c>
    </row>
    <row r="34" spans="1:11">
      <c r="A34" s="961"/>
      <c r="B34" s="960" t="s">
        <v>1236</v>
      </c>
      <c r="C34" s="961"/>
      <c r="D34" s="957"/>
      <c r="E34" s="957"/>
      <c r="F34" s="957"/>
      <c r="G34" s="957"/>
      <c r="H34" s="957"/>
      <c r="I34" s="957"/>
      <c r="J34" s="957"/>
      <c r="K34" s="963"/>
    </row>
    <row r="35" spans="1:11">
      <c r="A35" s="961"/>
      <c r="B35" s="960" t="s">
        <v>153</v>
      </c>
      <c r="C35" s="961" t="s">
        <v>92</v>
      </c>
      <c r="D35" s="957">
        <f>เปรียบเทียบราคาวัสดุ!Q115</f>
        <v>20261.75</v>
      </c>
      <c r="E35" s="957">
        <f>เปรียบเทียบราคาวัสดุ!R115</f>
        <v>20</v>
      </c>
      <c r="F35" s="957">
        <v>0</v>
      </c>
      <c r="G35" s="957">
        <v>0</v>
      </c>
      <c r="H35" s="957">
        <f>SUM(E35:G35)</f>
        <v>20</v>
      </c>
      <c r="I35" s="957">
        <f>เปรียบเทียบราคาวัสดุ!S115</f>
        <v>27.61</v>
      </c>
      <c r="J35" s="957">
        <f>D35+I35</f>
        <v>20289.36</v>
      </c>
      <c r="K35" s="963" t="str">
        <f>เปรียบเทียบราคาวัสดุ!M115</f>
        <v>สำนักดัชนีเศรษฐกิจการค้า จังหวัดพัทลุง</v>
      </c>
    </row>
    <row r="36" spans="1:11">
      <c r="A36" s="961"/>
      <c r="B36" s="960" t="s">
        <v>157</v>
      </c>
      <c r="C36" s="961" t="s">
        <v>92</v>
      </c>
      <c r="D36" s="957">
        <f>เปรียบเทียบราคาวัสดุ!Q116</f>
        <v>20972.32</v>
      </c>
      <c r="E36" s="957">
        <f>เปรียบเทียบราคาวัสดุ!R116</f>
        <v>20</v>
      </c>
      <c r="F36" s="957">
        <v>0</v>
      </c>
      <c r="G36" s="957">
        <v>0</v>
      </c>
      <c r="H36" s="957">
        <f>SUM(E36:G36)</f>
        <v>20</v>
      </c>
      <c r="I36" s="957">
        <f>เปรียบเทียบราคาวัสดุ!S116</f>
        <v>27.61</v>
      </c>
      <c r="J36" s="957">
        <f>D36+I36</f>
        <v>20999.93</v>
      </c>
      <c r="K36" s="963" t="str">
        <f>เปรียบเทียบราคาวัสดุ!M116</f>
        <v>สำนักดัชนีเศรษฐกิจการค้า จังหวัดพัทลุง</v>
      </c>
    </row>
    <row r="37" spans="1:11">
      <c r="A37" s="961"/>
      <c r="B37" s="960" t="s">
        <v>158</v>
      </c>
      <c r="C37" s="961" t="s">
        <v>92</v>
      </c>
      <c r="D37" s="957">
        <f>เปรียบเทียบราคาวัสดุ!Q117</f>
        <v>20833.64</v>
      </c>
      <c r="E37" s="957">
        <f>เปรียบเทียบราคาวัสดุ!R117</f>
        <v>20</v>
      </c>
      <c r="F37" s="957">
        <v>0</v>
      </c>
      <c r="G37" s="957">
        <v>0</v>
      </c>
      <c r="H37" s="957">
        <f>SUM(E37:G37)</f>
        <v>20</v>
      </c>
      <c r="I37" s="957">
        <f>เปรียบเทียบราคาวัสดุ!S117</f>
        <v>27.61</v>
      </c>
      <c r="J37" s="957">
        <f>D37+I37</f>
        <v>20861.25</v>
      </c>
      <c r="K37" s="963" t="str">
        <f>เปรียบเทียบราคาวัสดุ!M117</f>
        <v>สำนักดัชนีเศรษฐกิจการค้า จังหวัดพัทลุง</v>
      </c>
    </row>
    <row r="38" spans="1:11">
      <c r="A38" s="961"/>
      <c r="B38" s="960" t="s">
        <v>156</v>
      </c>
      <c r="C38" s="961" t="s">
        <v>92</v>
      </c>
      <c r="D38" s="957">
        <f>เปรียบเทียบราคาวัสดุ!Q118</f>
        <v>20811.21</v>
      </c>
      <c r="E38" s="957">
        <f>เปรียบเทียบราคาวัสดุ!R118</f>
        <v>20</v>
      </c>
      <c r="F38" s="957">
        <v>0</v>
      </c>
      <c r="G38" s="957">
        <v>0</v>
      </c>
      <c r="H38" s="957">
        <f>SUM(E38:G38)</f>
        <v>20</v>
      </c>
      <c r="I38" s="957">
        <f>เปรียบเทียบราคาวัสดุ!S118</f>
        <v>27.61</v>
      </c>
      <c r="J38" s="957">
        <f>D38+I38</f>
        <v>20838.82</v>
      </c>
      <c r="K38" s="963" t="str">
        <f>เปรียบเทียบราคาวัสดุ!M118</f>
        <v>สำนักดัชนีเศรษฐกิจการค้า จังหวัดพัทลุง</v>
      </c>
    </row>
    <row r="39" spans="1:11">
      <c r="A39" s="961"/>
      <c r="B39" s="960" t="s">
        <v>159</v>
      </c>
      <c r="C39" s="961"/>
      <c r="D39" s="957"/>
      <c r="E39" s="957"/>
      <c r="F39" s="957"/>
      <c r="G39" s="957"/>
      <c r="H39" s="957"/>
      <c r="I39" s="957"/>
      <c r="J39" s="957"/>
      <c r="K39" s="963"/>
    </row>
    <row r="40" spans="1:11">
      <c r="A40" s="961"/>
      <c r="B40" s="960" t="s">
        <v>153</v>
      </c>
      <c r="C40" s="961" t="s">
        <v>92</v>
      </c>
      <c r="D40" s="957">
        <f>เปรียบเทียบราคาวัสดุ!Q120</f>
        <v>14849.8</v>
      </c>
      <c r="E40" s="957">
        <f>เปรียบเทียบราคาวัสดุ!R120</f>
        <v>843</v>
      </c>
      <c r="F40" s="957">
        <v>0</v>
      </c>
      <c r="G40" s="957">
        <v>0</v>
      </c>
      <c r="H40" s="957">
        <f>SUM(E40:G40)</f>
        <v>843</v>
      </c>
      <c r="I40" s="957">
        <f>เปรียบเทียบราคาวัสดุ!S120</f>
        <v>1138.7</v>
      </c>
      <c r="J40" s="957">
        <f>D40+I40</f>
        <v>15988.5</v>
      </c>
      <c r="K40" s="963" t="str">
        <f>เปรียบเทียบราคาวัสดุ!M120</f>
        <v>สำนักดัชนีเศรษฐกิจการค้า กรุงเทพมหานคร</v>
      </c>
    </row>
    <row r="41" spans="1:11">
      <c r="A41" s="961"/>
      <c r="B41" s="960" t="s">
        <v>157</v>
      </c>
      <c r="C41" s="961" t="s">
        <v>92</v>
      </c>
      <c r="D41" s="957">
        <f>เปรียบเทียบราคาวัสดุ!Q121</f>
        <v>14649.8</v>
      </c>
      <c r="E41" s="957">
        <f>เปรียบเทียบราคาวัสดุ!R121</f>
        <v>843</v>
      </c>
      <c r="F41" s="957">
        <v>0</v>
      </c>
      <c r="G41" s="957">
        <v>0</v>
      </c>
      <c r="H41" s="957">
        <f>SUM(E41:G41)</f>
        <v>843</v>
      </c>
      <c r="I41" s="957">
        <f>เปรียบเทียบราคาวัสดุ!S121</f>
        <v>1138.7</v>
      </c>
      <c r="J41" s="957">
        <f>D41+I41</f>
        <v>15788.5</v>
      </c>
      <c r="K41" s="963" t="str">
        <f>เปรียบเทียบราคาวัสดุ!M121</f>
        <v>สำนักดัชนีเศรษฐกิจการค้า กรุงเทพมหานคร</v>
      </c>
    </row>
    <row r="42" spans="1:11">
      <c r="A42" s="961"/>
      <c r="B42" s="960" t="s">
        <v>158</v>
      </c>
      <c r="C42" s="961" t="s">
        <v>92</v>
      </c>
      <c r="D42" s="957">
        <f>เปรียบเทียบราคาวัสดุ!Q122</f>
        <v>14649.8</v>
      </c>
      <c r="E42" s="957">
        <f>เปรียบเทียบราคาวัสดุ!R122</f>
        <v>843</v>
      </c>
      <c r="F42" s="957">
        <v>0</v>
      </c>
      <c r="G42" s="957">
        <v>0</v>
      </c>
      <c r="H42" s="957">
        <f>SUM(E42:G42)</f>
        <v>843</v>
      </c>
      <c r="I42" s="957">
        <f>เปรียบเทียบราคาวัสดุ!S122</f>
        <v>1138.7</v>
      </c>
      <c r="J42" s="957">
        <f>D42+I42</f>
        <v>15788.5</v>
      </c>
      <c r="K42" s="963" t="str">
        <f>เปรียบเทียบราคาวัสดุ!M122</f>
        <v>สำนักดัชนีเศรษฐกิจการค้า กรุงเทพมหานคร</v>
      </c>
    </row>
    <row r="43" spans="1:11">
      <c r="A43" s="961"/>
      <c r="B43" s="960" t="s">
        <v>156</v>
      </c>
      <c r="C43" s="961" t="s">
        <v>92</v>
      </c>
      <c r="D43" s="957">
        <f>เปรียบเทียบราคาวัสดุ!Q123</f>
        <v>14649.8</v>
      </c>
      <c r="E43" s="957">
        <f>เปรียบเทียบราคาวัสดุ!R123</f>
        <v>843</v>
      </c>
      <c r="F43" s="957">
        <v>0</v>
      </c>
      <c r="G43" s="957">
        <v>0</v>
      </c>
      <c r="H43" s="957">
        <f>SUM(E43:G43)</f>
        <v>843</v>
      </c>
      <c r="I43" s="957">
        <f>เปรียบเทียบราคาวัสดุ!S123</f>
        <v>1138.7</v>
      </c>
      <c r="J43" s="957">
        <f>D43+I43</f>
        <v>15788.5</v>
      </c>
      <c r="K43" s="963" t="str">
        <f>เปรียบเทียบราคาวัสดุ!M123</f>
        <v>สำนักดัชนีเศรษฐกิจการค้า กรุงเทพมหานคร</v>
      </c>
    </row>
    <row r="44" spans="1:11">
      <c r="A44" s="961"/>
      <c r="B44" s="960" t="s">
        <v>160</v>
      </c>
      <c r="C44" s="961" t="s">
        <v>92</v>
      </c>
      <c r="D44" s="957">
        <f>เปรียบเทียบราคาวัสดุ!Q124</f>
        <v>14649.8</v>
      </c>
      <c r="E44" s="957">
        <f>เปรียบเทียบราคาวัสดุ!R124</f>
        <v>843</v>
      </c>
      <c r="F44" s="957">
        <v>0</v>
      </c>
      <c r="G44" s="957">
        <v>0</v>
      </c>
      <c r="H44" s="957">
        <f>SUM(E44:G44)</f>
        <v>843</v>
      </c>
      <c r="I44" s="957">
        <f>เปรียบเทียบราคาวัสดุ!S124</f>
        <v>1138.7</v>
      </c>
      <c r="J44" s="957">
        <f>D44+I44</f>
        <v>15788.5</v>
      </c>
      <c r="K44" s="963" t="str">
        <f>เปรียบเทียบราคาวัสดุ!M124</f>
        <v>สำนักดัชนีเศรษฐกิจการค้า กรุงเทพมหานคร</v>
      </c>
    </row>
    <row r="45" spans="1:11">
      <c r="A45" s="961">
        <v>8</v>
      </c>
      <c r="B45" s="960" t="s">
        <v>1252</v>
      </c>
      <c r="C45" s="961"/>
      <c r="D45" s="957"/>
      <c r="E45" s="957"/>
      <c r="F45" s="957"/>
      <c r="G45" s="957"/>
      <c r="H45" s="957"/>
      <c r="I45" s="957"/>
      <c r="J45" s="957"/>
      <c r="K45" s="963"/>
    </row>
    <row r="46" spans="1:11">
      <c r="A46" s="961"/>
      <c r="B46" s="960" t="s">
        <v>1249</v>
      </c>
      <c r="C46" s="961" t="s">
        <v>7</v>
      </c>
      <c r="D46" s="957">
        <f>เปรียบเทียบราคาวัสดุ!Q149*(1000/0.98)</f>
        <v>22.999999999999996</v>
      </c>
      <c r="E46" s="957">
        <f>เปรียบเทียบราคาวัสดุ!R149</f>
        <v>20</v>
      </c>
      <c r="F46" s="957">
        <v>0</v>
      </c>
      <c r="G46" s="957">
        <v>0</v>
      </c>
      <c r="H46" s="957">
        <f>SUM(E46:G46)</f>
        <v>20</v>
      </c>
      <c r="I46" s="957">
        <f>เปรียบเทียบราคาวัสดุ!S149*(0.98/1000)</f>
        <v>2.70578E-2</v>
      </c>
      <c r="J46" s="957">
        <f>D46+I46</f>
        <v>23.027057799999998</v>
      </c>
      <c r="K46" s="963" t="str">
        <f>เปรียบเทียบราคาวัสดุ!M149</f>
        <v>ห้างหุ้นส่วนจำกัด มังกรทองวัสดุก่อสร้าง</v>
      </c>
    </row>
    <row r="47" spans="1:11">
      <c r="A47" s="961"/>
      <c r="B47" s="960" t="s">
        <v>1250</v>
      </c>
      <c r="C47" s="961" t="s">
        <v>7</v>
      </c>
      <c r="D47" s="957">
        <f>เปรียบเทียบราคาวัสดุ!Q150*(1000/1.372)</f>
        <v>33</v>
      </c>
      <c r="E47" s="957">
        <f>เปรียบเทียบราคาวัสดุ!R150</f>
        <v>843</v>
      </c>
      <c r="F47" s="957">
        <v>0</v>
      </c>
      <c r="G47" s="957">
        <v>0</v>
      </c>
      <c r="H47" s="957">
        <f>SUM(E47:G47)</f>
        <v>843</v>
      </c>
      <c r="I47" s="957">
        <f>เปรียบเทียบราคาวัสดุ!S150*(1.372/1000)</f>
        <v>1.5622964000000004</v>
      </c>
      <c r="J47" s="957">
        <f>D47+I47</f>
        <v>34.562296400000001</v>
      </c>
      <c r="K47" s="963" t="str">
        <f>เปรียบเทียบราคาวัสดุ!M150</f>
        <v>สำนักดัชนีเศรษฐกิจการค้า กรุงเทพมหานคร</v>
      </c>
    </row>
    <row r="48" spans="1:11">
      <c r="A48" s="961"/>
      <c r="B48" s="960" t="s">
        <v>1253</v>
      </c>
      <c r="C48" s="961"/>
      <c r="D48" s="957"/>
      <c r="E48" s="957"/>
      <c r="F48" s="957"/>
      <c r="G48" s="957"/>
      <c r="H48" s="957"/>
      <c r="I48" s="957"/>
      <c r="J48" s="957"/>
      <c r="K48" s="963"/>
    </row>
    <row r="49" spans="1:19">
      <c r="A49" s="961"/>
      <c r="B49" s="960" t="s">
        <v>1249</v>
      </c>
      <c r="C49" s="961" t="s">
        <v>7</v>
      </c>
      <c r="D49" s="957">
        <f>เปรียบเทียบราคาวัสดุ!Q152*(1000/2.22)</f>
        <v>55.000000000000007</v>
      </c>
      <c r="E49" s="957">
        <f>เปรียบเทียบราคาวัสดุ!R152</f>
        <v>843</v>
      </c>
      <c r="F49" s="957">
        <v>0</v>
      </c>
      <c r="G49" s="957">
        <v>0</v>
      </c>
      <c r="H49" s="957">
        <f>SUM(E49:G49)</f>
        <v>843</v>
      </c>
      <c r="I49" s="957">
        <f>เปรียบเทียบราคาวัสดุ!S152*(2.22/1000)</f>
        <v>2.5279140000000004</v>
      </c>
      <c r="J49" s="957">
        <f>D49+I49</f>
        <v>57.52791400000001</v>
      </c>
      <c r="K49" s="963" t="str">
        <f>เปรียบเทียบราคาวัสดุ!M152</f>
        <v>สำนักดัชนีเศรษฐกิจการค้า กรุงเทพมหานคร</v>
      </c>
    </row>
    <row r="50" spans="1:19">
      <c r="A50" s="961"/>
      <c r="B50" s="960" t="s">
        <v>1250</v>
      </c>
      <c r="C50" s="961" t="s">
        <v>7</v>
      </c>
      <c r="D50" s="957">
        <f>เปรียบเทียบราคาวัสดุ!Q153*(1000/3.108)</f>
        <v>74</v>
      </c>
      <c r="E50" s="957">
        <f>เปรียบเทียบราคาวัสดุ!R153</f>
        <v>843</v>
      </c>
      <c r="F50" s="957">
        <v>0</v>
      </c>
      <c r="G50" s="957">
        <v>0</v>
      </c>
      <c r="H50" s="957">
        <f>SUM(E50:G50)</f>
        <v>843</v>
      </c>
      <c r="I50" s="957">
        <f>เปรียบเทียบราคาวัสดุ!S153*(3.108/1000)</f>
        <v>3.5390796000000004</v>
      </c>
      <c r="J50" s="957">
        <f>D50+I50</f>
        <v>77.539079599999994</v>
      </c>
      <c r="K50" s="963" t="str">
        <f>เปรียบเทียบราคาวัสดุ!M153</f>
        <v>สำนักดัชนีเศรษฐกิจการค้า กรุงเทพมหานคร</v>
      </c>
    </row>
    <row r="51" spans="1:19">
      <c r="A51" s="961">
        <v>9</v>
      </c>
      <c r="B51" s="969" t="s">
        <v>161</v>
      </c>
      <c r="C51" s="970"/>
      <c r="D51" s="962"/>
      <c r="E51" s="962"/>
      <c r="F51" s="962"/>
      <c r="G51" s="962"/>
      <c r="H51" s="962"/>
      <c r="I51" s="962"/>
      <c r="J51" s="962"/>
      <c r="K51" s="971"/>
      <c r="L51" s="744"/>
      <c r="N51" s="972"/>
      <c r="O51" s="972"/>
    </row>
    <row r="52" spans="1:19">
      <c r="A52" s="961"/>
      <c r="B52" s="973" t="s">
        <v>162</v>
      </c>
      <c r="C52" s="974" t="s">
        <v>92</v>
      </c>
      <c r="D52" s="962">
        <f>เปรียบเทียบราคาวัสดุ!Q165</f>
        <v>42166.67</v>
      </c>
      <c r="E52" s="957">
        <f>เปรียบเทียบราคาวัสดุ!R165</f>
        <v>843</v>
      </c>
      <c r="F52" s="957">
        <v>0</v>
      </c>
      <c r="G52" s="957">
        <v>0</v>
      </c>
      <c r="H52" s="957">
        <f>SUM(E52:G52)</f>
        <v>843</v>
      </c>
      <c r="I52" s="957">
        <f>เปรียบเทียบราคาวัสดุ!S165</f>
        <v>1138.7</v>
      </c>
      <c r="J52" s="957">
        <f>D52+I52</f>
        <v>43305.369999999995</v>
      </c>
      <c r="K52" s="975" t="str">
        <f>เปรียบเทียบราคาวัสดุ!M165</f>
        <v>สำนักดัชนีเศรษฐกิจการค้า กรุงเทพมหานคร</v>
      </c>
      <c r="L52" s="744"/>
      <c r="N52" s="972"/>
      <c r="O52" s="972"/>
    </row>
    <row r="53" spans="1:19">
      <c r="A53" s="961"/>
      <c r="B53" s="973" t="s">
        <v>163</v>
      </c>
      <c r="C53" s="959" t="s">
        <v>92</v>
      </c>
      <c r="D53" s="962">
        <f>เปรียบเทียบราคาวัสดุ!Q167</f>
        <v>42500</v>
      </c>
      <c r="E53" s="957">
        <f>เปรียบเทียบราคาวัสดุ!R167</f>
        <v>843</v>
      </c>
      <c r="F53" s="957">
        <v>0</v>
      </c>
      <c r="G53" s="957">
        <v>0</v>
      </c>
      <c r="H53" s="957">
        <f>SUM(E53:G53)</f>
        <v>843</v>
      </c>
      <c r="I53" s="957">
        <f>เปรียบเทียบราคาวัสดุ!S167</f>
        <v>1138.7</v>
      </c>
      <c r="J53" s="957">
        <f>D53+I53</f>
        <v>43638.7</v>
      </c>
      <c r="K53" s="975" t="str">
        <f>เปรียบเทียบราคาวัสดุ!M167</f>
        <v>สำนักดัชนีเศรษฐกิจการค้า กรุงเทพมหานคร</v>
      </c>
      <c r="L53" s="976"/>
      <c r="M53" s="977"/>
      <c r="N53" s="978"/>
      <c r="O53" s="978"/>
      <c r="P53" s="972"/>
      <c r="Q53" s="972"/>
      <c r="R53" s="972"/>
      <c r="S53" s="744"/>
    </row>
    <row r="54" spans="1:19" s="744" customFormat="1">
      <c r="A54" s="965">
        <v>10</v>
      </c>
      <c r="B54" s="979" t="s">
        <v>164</v>
      </c>
      <c r="C54" s="980" t="s">
        <v>46</v>
      </c>
      <c r="D54" s="981">
        <f>เปรียบเทียบราคาวัสดุ!B185/1000</f>
        <v>19.739999999999998</v>
      </c>
      <c r="E54" s="981">
        <f>เปรียบเทียบราคาวัสดุ!E185</f>
        <v>843</v>
      </c>
      <c r="F54" s="981">
        <v>0</v>
      </c>
      <c r="G54" s="981">
        <v>0</v>
      </c>
      <c r="H54" s="981">
        <f>SUM(E54:G54)</f>
        <v>843</v>
      </c>
      <c r="I54" s="981">
        <f>เปรียบเทียบราคาวัสดุ!H185/1000</f>
        <v>1.1387</v>
      </c>
      <c r="J54" s="957">
        <f>D54+I54</f>
        <v>20.878699999999998</v>
      </c>
      <c r="K54" s="982" t="str">
        <f>เปรียบเทียบราคาวัสดุ!C184</f>
        <v>สำนักดัชนีเศรษฐกิจการค้า กรุงเทพมหานคร</v>
      </c>
      <c r="M54" s="837"/>
      <c r="N54" s="972"/>
      <c r="O54" s="972"/>
      <c r="P54" s="972"/>
      <c r="Q54" s="972"/>
      <c r="R54" s="972"/>
    </row>
    <row r="55" spans="1:19" s="744" customFormat="1">
      <c r="A55" s="965">
        <v>11</v>
      </c>
      <c r="B55" s="979" t="s">
        <v>1251</v>
      </c>
      <c r="C55" s="980" t="s">
        <v>46</v>
      </c>
      <c r="D55" s="981">
        <f>เปรียบเทียบราคาวัสดุ!B197/1000</f>
        <v>29.11</v>
      </c>
      <c r="E55" s="981">
        <f>เปรียบเทียบราคาวัสดุ!E197</f>
        <v>20</v>
      </c>
      <c r="F55" s="981">
        <v>0</v>
      </c>
      <c r="G55" s="981">
        <v>0</v>
      </c>
      <c r="H55" s="981">
        <f>SUM(E55:G55)</f>
        <v>20</v>
      </c>
      <c r="I55" s="981">
        <f>เปรียบเทียบราคาวัสดุ!H197/1000</f>
        <v>2.7609999999999999E-2</v>
      </c>
      <c r="J55" s="957">
        <f>D55+I55</f>
        <v>29.137609999999999</v>
      </c>
      <c r="K55" s="982" t="str">
        <f>เปรียบเทียบราคาวัสดุ!C196</f>
        <v>หจก. มังกรทองวัสดุก่อสร้าง</v>
      </c>
      <c r="M55" s="837"/>
      <c r="N55" s="972"/>
      <c r="O55" s="972"/>
      <c r="P55" s="978"/>
      <c r="Q55" s="978"/>
      <c r="R55" s="978"/>
      <c r="S55" s="976"/>
    </row>
    <row r="56" spans="1:19" s="976" customFormat="1" ht="21" customHeight="1">
      <c r="A56" s="961">
        <v>12</v>
      </c>
      <c r="B56" s="983" t="s">
        <v>1254</v>
      </c>
      <c r="C56" s="959"/>
      <c r="D56" s="962"/>
      <c r="E56" s="962"/>
      <c r="F56" s="962"/>
      <c r="G56" s="962"/>
      <c r="H56" s="962"/>
      <c r="I56" s="962"/>
      <c r="J56" s="962"/>
      <c r="K56" s="975"/>
      <c r="L56" s="744"/>
      <c r="M56" s="837"/>
      <c r="N56" s="972"/>
      <c r="O56" s="972"/>
      <c r="P56" s="972"/>
      <c r="Q56" s="972"/>
      <c r="R56" s="972"/>
      <c r="S56" s="744"/>
    </row>
    <row r="57" spans="1:19" s="744" customFormat="1">
      <c r="A57" s="961"/>
      <c r="B57" s="983" t="s">
        <v>165</v>
      </c>
      <c r="C57" s="959" t="s">
        <v>12</v>
      </c>
      <c r="D57" s="957">
        <f>เปรียบเทียบราคาวัสดุ!Q208</f>
        <v>0</v>
      </c>
      <c r="E57" s="962">
        <f>เปรียบเทียบราคาวัสดุ!R208</f>
        <v>0</v>
      </c>
      <c r="F57" s="962">
        <v>0</v>
      </c>
      <c r="G57" s="962">
        <v>0</v>
      </c>
      <c r="H57" s="962">
        <f>SUM(E57:G57)</f>
        <v>0</v>
      </c>
      <c r="I57" s="984">
        <f>เปรียบเทียบราคาวัสดุ!S208</f>
        <v>0</v>
      </c>
      <c r="J57" s="957">
        <f>IF(I57=0,0,D57+(((I57*13)+300)/48))</f>
        <v>0</v>
      </c>
      <c r="K57" s="975">
        <f>เปรียบเทียบราคาวัสดุ!M208</f>
        <v>0</v>
      </c>
      <c r="M57" s="985"/>
      <c r="N57" s="972"/>
      <c r="O57" s="972"/>
      <c r="P57" s="972"/>
      <c r="Q57" s="972"/>
      <c r="R57" s="972"/>
    </row>
    <row r="58" spans="1:19" s="744" customFormat="1">
      <c r="A58" s="961"/>
      <c r="B58" s="983" t="s">
        <v>166</v>
      </c>
      <c r="C58" s="959" t="s">
        <v>12</v>
      </c>
      <c r="D58" s="957">
        <f>เปรียบเทียบราคาวัสดุ!Q209</f>
        <v>650</v>
      </c>
      <c r="E58" s="962">
        <f>เปรียบเทียบราคาวัสดุ!R209</f>
        <v>55</v>
      </c>
      <c r="F58" s="962">
        <v>0</v>
      </c>
      <c r="G58" s="962">
        <v>0</v>
      </c>
      <c r="H58" s="962">
        <f t="shared" ref="H58:H69" si="4">SUM(E58:G58)</f>
        <v>55</v>
      </c>
      <c r="I58" s="984">
        <f>เปรียบเทียบราคาวัสดุ!S209</f>
        <v>122.4</v>
      </c>
      <c r="J58" s="957">
        <f>IF(I58=0,0,D58+(((I58*13)+300)/32))</f>
        <v>709.1</v>
      </c>
      <c r="K58" s="975" t="str">
        <f>เปรียบเทียบราคาวัสดุ!M209</f>
        <v>ห้างหุ้นส่วนจำกัด หัวหรั่งคอนกรีต</v>
      </c>
      <c r="M58" s="985"/>
      <c r="N58" s="837"/>
      <c r="O58" s="837"/>
      <c r="P58" s="972"/>
      <c r="Q58" s="972"/>
      <c r="R58" s="972"/>
    </row>
    <row r="59" spans="1:19" s="744" customFormat="1">
      <c r="A59" s="961"/>
      <c r="B59" s="983" t="s">
        <v>167</v>
      </c>
      <c r="C59" s="959" t="s">
        <v>12</v>
      </c>
      <c r="D59" s="957">
        <f>เปรียบเทียบราคาวัสดุ!Q210</f>
        <v>850</v>
      </c>
      <c r="E59" s="962">
        <f>เปรียบเทียบราคาวัสดุ!R210</f>
        <v>55</v>
      </c>
      <c r="F59" s="962">
        <v>0</v>
      </c>
      <c r="G59" s="962">
        <v>0</v>
      </c>
      <c r="H59" s="962">
        <f t="shared" si="4"/>
        <v>55</v>
      </c>
      <c r="I59" s="984">
        <f>เปรียบเทียบราคาวัสดุ!S210</f>
        <v>122.4</v>
      </c>
      <c r="J59" s="957">
        <f>IF(I59=0,0,D59+(((I59*13)+300)/24))</f>
        <v>928.8</v>
      </c>
      <c r="K59" s="975" t="str">
        <f>เปรียบเทียบราคาวัสดุ!M210</f>
        <v>ห้างหุ้นส่วนจำกัด หัวหรั่งคอนกรีต</v>
      </c>
      <c r="M59" s="985"/>
      <c r="N59" s="837"/>
      <c r="O59" s="837"/>
      <c r="P59" s="972"/>
      <c r="Q59" s="972"/>
      <c r="R59" s="972"/>
    </row>
    <row r="60" spans="1:19" s="744" customFormat="1">
      <c r="A60" s="961"/>
      <c r="B60" s="983" t="s">
        <v>168</v>
      </c>
      <c r="C60" s="959" t="s">
        <v>12</v>
      </c>
      <c r="D60" s="957">
        <f>เปรียบเทียบราคาวัสดุ!Q211</f>
        <v>1250</v>
      </c>
      <c r="E60" s="962">
        <f>เปรียบเทียบราคาวัสดุ!R211</f>
        <v>55</v>
      </c>
      <c r="F60" s="962">
        <v>0</v>
      </c>
      <c r="G60" s="962">
        <v>0</v>
      </c>
      <c r="H60" s="962">
        <f t="shared" si="4"/>
        <v>55</v>
      </c>
      <c r="I60" s="984">
        <f>เปรียบเทียบราคาวัสดุ!S211</f>
        <v>122.4</v>
      </c>
      <c r="J60" s="957">
        <f>IF(I60=0,0,D60+(((I60*13)+300)/18))</f>
        <v>1355.0666666666666</v>
      </c>
      <c r="K60" s="975" t="str">
        <f>เปรียบเทียบราคาวัสดุ!M211</f>
        <v>ห้างหุ้นส่วนจำกัด หัวหรั่งคอนกรีต</v>
      </c>
      <c r="M60" s="985"/>
      <c r="N60" s="837"/>
      <c r="O60" s="837"/>
      <c r="P60" s="837"/>
      <c r="Q60" s="972"/>
      <c r="R60" s="972"/>
    </row>
    <row r="61" spans="1:19" s="744" customFormat="1">
      <c r="A61" s="961"/>
      <c r="B61" s="983" t="s">
        <v>169</v>
      </c>
      <c r="C61" s="959" t="s">
        <v>12</v>
      </c>
      <c r="D61" s="957">
        <f>เปรียบเทียบราคาวัสดุ!Q212</f>
        <v>2100</v>
      </c>
      <c r="E61" s="962">
        <f>เปรียบเทียบราคาวัสดุ!R212</f>
        <v>55</v>
      </c>
      <c r="F61" s="962">
        <v>0</v>
      </c>
      <c r="G61" s="962">
        <v>0</v>
      </c>
      <c r="H61" s="962">
        <f t="shared" si="4"/>
        <v>55</v>
      </c>
      <c r="I61" s="984">
        <f>เปรียบเทียบราคาวัสดุ!S212</f>
        <v>122.4</v>
      </c>
      <c r="J61" s="957">
        <f>IF(I61=0,0,D61+(((I61*13)+300)/10))</f>
        <v>2289.12</v>
      </c>
      <c r="K61" s="975" t="str">
        <f>เปรียบเทียบราคาวัสดุ!M212</f>
        <v>ห้างหุ้นส่วนจำกัด หัวหรั่งคอนกรีต</v>
      </c>
      <c r="M61" s="985"/>
      <c r="N61" s="837"/>
      <c r="O61" s="837"/>
      <c r="P61" s="837"/>
      <c r="Q61" s="972"/>
      <c r="R61" s="972"/>
    </row>
    <row r="62" spans="1:19" s="744" customFormat="1">
      <c r="A62" s="961"/>
      <c r="B62" s="983" t="s">
        <v>170</v>
      </c>
      <c r="C62" s="959" t="s">
        <v>12</v>
      </c>
      <c r="D62" s="957">
        <f>เปรียบเทียบราคาวัสดุ!Q213</f>
        <v>3200</v>
      </c>
      <c r="E62" s="962">
        <f>เปรียบเทียบราคาวัสดุ!R213</f>
        <v>55</v>
      </c>
      <c r="F62" s="962">
        <v>0</v>
      </c>
      <c r="G62" s="962">
        <v>0</v>
      </c>
      <c r="H62" s="962">
        <f t="shared" si="4"/>
        <v>55</v>
      </c>
      <c r="I62" s="984">
        <f>เปรียบเทียบราคาวัสดุ!S213</f>
        <v>122.4</v>
      </c>
      <c r="J62" s="957">
        <f>IF(I62=0,0,D62+(((I62*13)+300)/8))</f>
        <v>3436.4</v>
      </c>
      <c r="K62" s="975" t="str">
        <f>เปรียบเทียบราคาวัสดุ!M213</f>
        <v>ห้างหุ้นส่วนจำกัด หัวหรั่งคอนกรีต</v>
      </c>
      <c r="M62" s="837"/>
      <c r="N62" s="837"/>
      <c r="O62" s="837"/>
      <c r="P62" s="837"/>
      <c r="Q62" s="972"/>
      <c r="R62" s="972"/>
    </row>
    <row r="63" spans="1:19" s="744" customFormat="1">
      <c r="A63" s="707">
        <v>13</v>
      </c>
      <c r="B63" s="1468" t="s">
        <v>2064</v>
      </c>
      <c r="C63" s="733"/>
      <c r="D63" s="831"/>
      <c r="E63" s="1469"/>
      <c r="F63" s="1469"/>
      <c r="G63" s="1469"/>
      <c r="H63" s="1469"/>
      <c r="I63" s="1470"/>
      <c r="J63" s="831"/>
      <c r="K63" s="1471"/>
      <c r="M63" s="837"/>
      <c r="N63" s="837"/>
      <c r="O63" s="837"/>
      <c r="P63" s="837"/>
      <c r="Q63" s="972"/>
      <c r="R63" s="972"/>
    </row>
    <row r="64" spans="1:19" s="744" customFormat="1">
      <c r="A64" s="961"/>
      <c r="B64" s="1472" t="s">
        <v>2057</v>
      </c>
      <c r="C64" s="959" t="s">
        <v>17</v>
      </c>
      <c r="D64" s="957">
        <f>เปรียบเทียบราคาวัสดุ!Q233</f>
        <v>7500</v>
      </c>
      <c r="E64" s="962">
        <f>เปรียบเทียบราคาวัสดุ!R233</f>
        <v>55</v>
      </c>
      <c r="F64" s="962">
        <v>0</v>
      </c>
      <c r="G64" s="962">
        <v>0</v>
      </c>
      <c r="H64" s="962">
        <f t="shared" si="4"/>
        <v>55</v>
      </c>
      <c r="I64" s="984">
        <f>เปรียบเทียบราคาวัสดุ!S233</f>
        <v>122.4</v>
      </c>
      <c r="J64" s="957">
        <f>IF(I64=0,0,D64+(((I64*13)+300)/8))</f>
        <v>7736.4</v>
      </c>
      <c r="K64" s="975" t="str">
        <f>เปรียบเทียบราคาวัสดุ!M233</f>
        <v>บริษัท อาคเนย์ คอนกรีต จำกัด</v>
      </c>
      <c r="M64" s="837"/>
      <c r="N64" s="837"/>
      <c r="O64" s="837"/>
      <c r="P64" s="837"/>
      <c r="Q64" s="972"/>
      <c r="R64" s="972"/>
    </row>
    <row r="65" spans="1:18" s="744" customFormat="1">
      <c r="A65" s="961"/>
      <c r="B65" s="1472" t="s">
        <v>2058</v>
      </c>
      <c r="C65" s="959" t="s">
        <v>17</v>
      </c>
      <c r="D65" s="957">
        <f>เปรียบเทียบราคาวัสดุ!Q234</f>
        <v>10600</v>
      </c>
      <c r="E65" s="962">
        <f>เปรียบเทียบราคาวัสดุ!R234</f>
        <v>55</v>
      </c>
      <c r="F65" s="962">
        <v>0</v>
      </c>
      <c r="G65" s="962">
        <v>0</v>
      </c>
      <c r="H65" s="962">
        <f t="shared" si="4"/>
        <v>55</v>
      </c>
      <c r="I65" s="984">
        <f>เปรียบเทียบราคาวัสดุ!S234</f>
        <v>122.4</v>
      </c>
      <c r="J65" s="957">
        <f>IF(I65=0,0,D65+(((I65*13)+300)/6))</f>
        <v>10915.2</v>
      </c>
      <c r="K65" s="975" t="str">
        <f>เปรียบเทียบราคาวัสดุ!M234</f>
        <v>บริษัท อาคเนย์ คอนกรีต จำกัด</v>
      </c>
      <c r="M65" s="837"/>
      <c r="N65" s="837"/>
      <c r="O65" s="837"/>
      <c r="P65" s="837"/>
      <c r="Q65" s="972"/>
      <c r="R65" s="972"/>
    </row>
    <row r="66" spans="1:18" s="744" customFormat="1">
      <c r="A66" s="961"/>
      <c r="B66" s="1472" t="s">
        <v>2059</v>
      </c>
      <c r="C66" s="959" t="s">
        <v>17</v>
      </c>
      <c r="D66" s="957">
        <f>เปรียบเทียบราคาวัสดุ!Q235</f>
        <v>15500</v>
      </c>
      <c r="E66" s="962">
        <f>เปรียบเทียบราคาวัสดุ!R235</f>
        <v>47</v>
      </c>
      <c r="F66" s="962">
        <v>0</v>
      </c>
      <c r="G66" s="962">
        <v>0</v>
      </c>
      <c r="H66" s="962">
        <f t="shared" si="4"/>
        <v>47</v>
      </c>
      <c r="I66" s="984">
        <f>เปรียบเทียบราคาวัสดุ!S235</f>
        <v>23.29</v>
      </c>
      <c r="J66" s="957">
        <f>IF(I66=0,0,D66+(((I66*13)+300)/6))</f>
        <v>15600.461666666666</v>
      </c>
      <c r="K66" s="975" t="str">
        <f>เปรียบเทียบราคาวัสดุ!M235</f>
        <v>ห้างหุ้นส่วนจำกัด ฉัตรชัยตรังคอนกรีต</v>
      </c>
      <c r="M66" s="837"/>
      <c r="N66" s="837"/>
      <c r="O66" s="837"/>
      <c r="P66" s="837"/>
      <c r="Q66" s="972"/>
      <c r="R66" s="972"/>
    </row>
    <row r="67" spans="1:18" s="744" customFormat="1">
      <c r="A67" s="961"/>
      <c r="B67" s="1472" t="s">
        <v>2060</v>
      </c>
      <c r="C67" s="959" t="s">
        <v>17</v>
      </c>
      <c r="D67" s="957">
        <f>เปรียบเทียบราคาวัสดุ!Q236</f>
        <v>16500</v>
      </c>
      <c r="E67" s="962">
        <f>เปรียบเทียบราคาวัสดุ!R236</f>
        <v>47</v>
      </c>
      <c r="F67" s="962">
        <v>0</v>
      </c>
      <c r="G67" s="962">
        <v>0</v>
      </c>
      <c r="H67" s="962">
        <f t="shared" si="4"/>
        <v>47</v>
      </c>
      <c r="I67" s="984">
        <f>เปรียบเทียบราคาวัสดุ!S236</f>
        <v>23.29</v>
      </c>
      <c r="J67" s="957">
        <f>IF(I67=0,0,D67+(((I67*13)+300)/6))</f>
        <v>16600.461666666666</v>
      </c>
      <c r="K67" s="975" t="str">
        <f>เปรียบเทียบราคาวัสดุ!M236</f>
        <v>ห้างหุ้นส่วนจำกัด ฉัตรชัยตรังคอนกรีต</v>
      </c>
      <c r="M67" s="837"/>
      <c r="N67" s="837"/>
      <c r="O67" s="837"/>
      <c r="P67" s="837"/>
      <c r="Q67" s="972"/>
      <c r="R67" s="972"/>
    </row>
    <row r="68" spans="1:18" s="744" customFormat="1">
      <c r="A68" s="961"/>
      <c r="B68" s="1472" t="s">
        <v>2061</v>
      </c>
      <c r="C68" s="959" t="s">
        <v>17</v>
      </c>
      <c r="D68" s="957">
        <f>เปรียบเทียบราคาวัสดุ!Q237</f>
        <v>18600</v>
      </c>
      <c r="E68" s="962">
        <f>เปรียบเทียบราคาวัสดุ!R237</f>
        <v>55</v>
      </c>
      <c r="F68" s="962">
        <v>0</v>
      </c>
      <c r="G68" s="962">
        <v>0</v>
      </c>
      <c r="H68" s="962">
        <f t="shared" si="4"/>
        <v>55</v>
      </c>
      <c r="I68" s="984">
        <f>เปรียบเทียบราคาวัสดุ!S237</f>
        <v>122.4</v>
      </c>
      <c r="J68" s="957">
        <f>IF(I68=0,0,D68+(((I68*13)+300)/4))</f>
        <v>19072.8</v>
      </c>
      <c r="K68" s="975" t="str">
        <f>เปรียบเทียบราคาวัสดุ!M237</f>
        <v>บริษัท อาคเนย์ คอนกรีต จำกัด</v>
      </c>
      <c r="M68" s="837"/>
      <c r="N68" s="837"/>
      <c r="O68" s="837"/>
      <c r="P68" s="837"/>
      <c r="Q68" s="972"/>
      <c r="R68" s="972"/>
    </row>
    <row r="69" spans="1:18" s="744" customFormat="1">
      <c r="A69" s="961"/>
      <c r="B69" s="1472" t="s">
        <v>2062</v>
      </c>
      <c r="C69" s="959" t="s">
        <v>17</v>
      </c>
      <c r="D69" s="957">
        <f>เปรียบเทียบราคาวัสดุ!Q238</f>
        <v>21500</v>
      </c>
      <c r="E69" s="962">
        <f>เปรียบเทียบราคาวัสดุ!R238</f>
        <v>47</v>
      </c>
      <c r="F69" s="962">
        <v>0</v>
      </c>
      <c r="G69" s="962">
        <v>0</v>
      </c>
      <c r="H69" s="962">
        <f t="shared" si="4"/>
        <v>47</v>
      </c>
      <c r="I69" s="984">
        <f>เปรียบเทียบราคาวัสดุ!S238</f>
        <v>23.29</v>
      </c>
      <c r="J69" s="957">
        <f>IF(I69=0,0,D69+(((I69*13)+300)/4))</f>
        <v>21650.692500000001</v>
      </c>
      <c r="K69" s="975" t="str">
        <f>เปรียบเทียบราคาวัสดุ!M238</f>
        <v>ห้างหุ้นส่วนจำกัด ฉัตรชัยตรังคอนกรีต</v>
      </c>
      <c r="M69" s="837"/>
      <c r="N69" s="837"/>
      <c r="O69" s="837"/>
      <c r="P69" s="837"/>
      <c r="Q69" s="972"/>
      <c r="R69" s="972"/>
    </row>
    <row r="70" spans="1:18" s="744" customFormat="1">
      <c r="A70" s="965">
        <v>14</v>
      </c>
      <c r="B70" s="979" t="s">
        <v>171</v>
      </c>
      <c r="C70" s="1473"/>
      <c r="D70" s="981"/>
      <c r="E70" s="981"/>
      <c r="F70" s="981"/>
      <c r="G70" s="981"/>
      <c r="H70" s="981"/>
      <c r="I70" s="981"/>
      <c r="J70" s="981"/>
      <c r="K70" s="982"/>
      <c r="M70" s="837"/>
      <c r="N70" s="837"/>
      <c r="O70" s="837"/>
      <c r="P70" s="837"/>
      <c r="Q70" s="972"/>
      <c r="R70" s="972"/>
    </row>
    <row r="71" spans="1:18" s="744" customFormat="1">
      <c r="A71" s="961"/>
      <c r="B71" s="983" t="s">
        <v>1987</v>
      </c>
      <c r="C71" s="959" t="s">
        <v>92</v>
      </c>
      <c r="D71" s="962">
        <f>เปรียบเทียบราคาวัสดุ!Q253</f>
        <v>2816.2</v>
      </c>
      <c r="E71" s="962">
        <f>เปรียบเทียบราคาวัสดุ!R253</f>
        <v>20</v>
      </c>
      <c r="F71" s="962">
        <v>0</v>
      </c>
      <c r="G71" s="962">
        <v>0</v>
      </c>
      <c r="H71" s="962">
        <f>SUM(E71:G71)</f>
        <v>20</v>
      </c>
      <c r="I71" s="957">
        <f>เปรียบเทียบราคาวัสดุ!S253</f>
        <v>27.61</v>
      </c>
      <c r="J71" s="957">
        <f>D71+I71</f>
        <v>2843.81</v>
      </c>
      <c r="K71" s="963" t="str">
        <f>เปรียบเทียบราคาวัสดุ!M253</f>
        <v>สำนักงานพาณิชย์ จังหวัดพัทลุง</v>
      </c>
      <c r="M71" s="837"/>
      <c r="N71" s="837"/>
      <c r="O71" s="837"/>
      <c r="P71" s="837"/>
      <c r="Q71" s="972"/>
      <c r="R71" s="972"/>
    </row>
    <row r="72" spans="1:18" s="744" customFormat="1">
      <c r="A72" s="961"/>
      <c r="B72" s="983" t="s">
        <v>1988</v>
      </c>
      <c r="C72" s="959" t="s">
        <v>92</v>
      </c>
      <c r="D72" s="962">
        <f>เปรียบเทียบราคาวัสดุ!Q255</f>
        <v>2623.05</v>
      </c>
      <c r="E72" s="962">
        <f>E71</f>
        <v>20</v>
      </c>
      <c r="F72" s="962">
        <v>0</v>
      </c>
      <c r="G72" s="962">
        <v>0</v>
      </c>
      <c r="H72" s="962">
        <f>SUM(E72:G72)</f>
        <v>20</v>
      </c>
      <c r="I72" s="957">
        <f>เปรียบเทียบราคาวัสดุ!S255</f>
        <v>27.61</v>
      </c>
      <c r="J72" s="957">
        <f>D72+I72</f>
        <v>2650.6600000000003</v>
      </c>
      <c r="K72" s="963" t="str">
        <f>เปรียบเทียบราคาวัสดุ!M255</f>
        <v>สำนักงานพาณิชย์ จังหวัดพัทลุง</v>
      </c>
      <c r="M72" s="837"/>
      <c r="N72" s="837"/>
      <c r="O72" s="837"/>
      <c r="P72" s="837"/>
      <c r="Q72" s="972"/>
      <c r="R72" s="972"/>
    </row>
    <row r="73" spans="1:18" s="744" customFormat="1">
      <c r="A73" s="961"/>
      <c r="B73" s="983" t="s">
        <v>1989</v>
      </c>
      <c r="C73" s="959" t="s">
        <v>92</v>
      </c>
      <c r="D73" s="962">
        <v>0</v>
      </c>
      <c r="E73" s="962">
        <v>0</v>
      </c>
      <c r="F73" s="962">
        <v>0</v>
      </c>
      <c r="G73" s="962">
        <v>0</v>
      </c>
      <c r="H73" s="962">
        <f>SUM(E73:G73)</f>
        <v>0</v>
      </c>
      <c r="I73" s="957">
        <v>0</v>
      </c>
      <c r="J73" s="957">
        <f>D73+I73</f>
        <v>0</v>
      </c>
      <c r="K73" s="963">
        <v>0</v>
      </c>
      <c r="M73" s="837"/>
      <c r="N73" s="837"/>
      <c r="O73" s="837"/>
      <c r="P73" s="837"/>
      <c r="Q73" s="972"/>
      <c r="R73" s="972"/>
    </row>
    <row r="74" spans="1:18" s="744" customFormat="1">
      <c r="A74" s="961">
        <v>15</v>
      </c>
      <c r="B74" s="983" t="s">
        <v>184</v>
      </c>
      <c r="C74" s="959"/>
      <c r="D74" s="962"/>
      <c r="E74" s="962"/>
      <c r="F74" s="962"/>
      <c r="G74" s="962"/>
      <c r="H74" s="962"/>
      <c r="I74" s="957"/>
      <c r="J74" s="957"/>
      <c r="K74" s="963"/>
      <c r="M74" s="837"/>
      <c r="N74" s="837"/>
      <c r="O74" s="837"/>
      <c r="P74" s="837"/>
      <c r="Q74" s="972"/>
      <c r="R74" s="972"/>
    </row>
    <row r="75" spans="1:18" s="744" customFormat="1">
      <c r="A75" s="961"/>
      <c r="B75" s="960" t="s">
        <v>1845</v>
      </c>
      <c r="C75" s="959" t="s">
        <v>6</v>
      </c>
      <c r="D75" s="962">
        <f>เปรียบเทียบราคาวัสดุ!Q265</f>
        <v>2004.67</v>
      </c>
      <c r="E75" s="962">
        <f>เปรียบเทียบราคาวัสดุ!R265</f>
        <v>20</v>
      </c>
      <c r="F75" s="962">
        <v>0</v>
      </c>
      <c r="G75" s="962">
        <v>0</v>
      </c>
      <c r="H75" s="962">
        <f>SUM(E75:G75)</f>
        <v>20</v>
      </c>
      <c r="I75" s="957">
        <f>เปรียบเทียบราคาวัสดุ!S265</f>
        <v>63.44</v>
      </c>
      <c r="J75" s="957">
        <f>D75+I75</f>
        <v>2068.11</v>
      </c>
      <c r="K75" s="963" t="str">
        <f>เปรียบเทียบราคาวัสดุ!M265</f>
        <v>สำนักงานพาณิชย์ จังหวัดพัทลุง</v>
      </c>
      <c r="M75" s="837"/>
      <c r="N75" s="837"/>
      <c r="O75" s="837"/>
      <c r="P75" s="837"/>
      <c r="Q75" s="972"/>
      <c r="R75" s="972"/>
    </row>
    <row r="76" spans="1:18" s="744" customFormat="1">
      <c r="A76" s="961"/>
      <c r="B76" s="960" t="s">
        <v>1846</v>
      </c>
      <c r="C76" s="959" t="s">
        <v>6</v>
      </c>
      <c r="D76" s="962">
        <f>เปรียบเทียบราคาวัสดุ!Q266</f>
        <v>2054.6799999999998</v>
      </c>
      <c r="E76" s="962">
        <f>เปรียบเทียบราคาวัสดุ!R266</f>
        <v>20</v>
      </c>
      <c r="F76" s="962">
        <v>0</v>
      </c>
      <c r="G76" s="962">
        <v>0</v>
      </c>
      <c r="H76" s="962">
        <f t="shared" ref="H76:H83" si="5">SUM(E76:G76)</f>
        <v>20</v>
      </c>
      <c r="I76" s="957">
        <f>เปรียบเทียบราคาวัสดุ!S266</f>
        <v>63.44</v>
      </c>
      <c r="J76" s="957">
        <f t="shared" ref="J76:J83" si="6">D76+I76</f>
        <v>2118.12</v>
      </c>
      <c r="K76" s="963" t="str">
        <f>เปรียบเทียบราคาวัสดุ!M266</f>
        <v>สำนักงานพาณิชย์ จังหวัดพัทลุง</v>
      </c>
      <c r="M76" s="837"/>
      <c r="N76" s="837"/>
      <c r="O76" s="837"/>
      <c r="P76" s="837"/>
      <c r="Q76" s="972"/>
      <c r="R76" s="972"/>
    </row>
    <row r="77" spans="1:18" s="744" customFormat="1">
      <c r="A77" s="961"/>
      <c r="B77" s="960" t="s">
        <v>1847</v>
      </c>
      <c r="C77" s="959" t="s">
        <v>6</v>
      </c>
      <c r="D77" s="962">
        <f>เปรียบเทียบราคาวัสดุ!Q267</f>
        <v>2105.14</v>
      </c>
      <c r="E77" s="962">
        <f>เปรียบเทียบราคาวัสดุ!R267</f>
        <v>20</v>
      </c>
      <c r="F77" s="962">
        <v>0</v>
      </c>
      <c r="G77" s="962">
        <v>0</v>
      </c>
      <c r="H77" s="962">
        <f t="shared" si="5"/>
        <v>20</v>
      </c>
      <c r="I77" s="957">
        <f>เปรียบเทียบราคาวัสดุ!S267</f>
        <v>63.44</v>
      </c>
      <c r="J77" s="957">
        <f t="shared" si="6"/>
        <v>2168.58</v>
      </c>
      <c r="K77" s="963" t="str">
        <f>เปรียบเทียบราคาวัสดุ!M267</f>
        <v>สำนักงานพาณิชย์ จังหวัดพัทลุง</v>
      </c>
      <c r="M77" s="837"/>
      <c r="N77" s="837"/>
      <c r="O77" s="837"/>
      <c r="P77" s="837"/>
      <c r="Q77" s="972"/>
      <c r="R77" s="972"/>
    </row>
    <row r="78" spans="1:18" s="744" customFormat="1">
      <c r="A78" s="961"/>
      <c r="B78" s="960" t="s">
        <v>1848</v>
      </c>
      <c r="C78" s="959" t="s">
        <v>6</v>
      </c>
      <c r="D78" s="962">
        <f>เปรียบเทียบราคาวัสดุ!Q268</f>
        <v>2155.14</v>
      </c>
      <c r="E78" s="962">
        <f>เปรียบเทียบราคาวัสดุ!R268</f>
        <v>20</v>
      </c>
      <c r="F78" s="962">
        <v>0</v>
      </c>
      <c r="G78" s="962">
        <v>0</v>
      </c>
      <c r="H78" s="962">
        <f t="shared" si="5"/>
        <v>20</v>
      </c>
      <c r="I78" s="957">
        <f>เปรียบเทียบราคาวัสดุ!S268</f>
        <v>63.44</v>
      </c>
      <c r="J78" s="957">
        <f t="shared" si="6"/>
        <v>2218.58</v>
      </c>
      <c r="K78" s="963" t="str">
        <f>เปรียบเทียบราคาวัสดุ!M268</f>
        <v>สำนักงานพาณิชย์ จังหวัดพัทลุง</v>
      </c>
      <c r="M78" s="837"/>
      <c r="N78" s="837"/>
      <c r="O78" s="837"/>
      <c r="P78" s="837"/>
      <c r="Q78" s="972"/>
      <c r="R78" s="972"/>
    </row>
    <row r="79" spans="1:18" s="744" customFormat="1">
      <c r="A79" s="961"/>
      <c r="B79" s="960" t="s">
        <v>1849</v>
      </c>
      <c r="C79" s="959" t="s">
        <v>6</v>
      </c>
      <c r="D79" s="962">
        <f>เปรียบเทียบราคาวัสดุ!Q269</f>
        <v>2246.2600000000002</v>
      </c>
      <c r="E79" s="962">
        <f>เปรียบเทียบราคาวัสดุ!R269</f>
        <v>20</v>
      </c>
      <c r="F79" s="962">
        <v>0</v>
      </c>
      <c r="G79" s="962">
        <v>0</v>
      </c>
      <c r="H79" s="962">
        <f t="shared" si="5"/>
        <v>20</v>
      </c>
      <c r="I79" s="957">
        <f>เปรียบเทียบราคาวัสดุ!S269</f>
        <v>63.44</v>
      </c>
      <c r="J79" s="957">
        <f t="shared" si="6"/>
        <v>2309.7000000000003</v>
      </c>
      <c r="K79" s="963" t="str">
        <f>เปรียบเทียบราคาวัสดุ!M269</f>
        <v>สำนักงานพาณิชย์ จังหวัดพัทลุง</v>
      </c>
      <c r="M79" s="837"/>
      <c r="N79" s="837"/>
      <c r="O79" s="837"/>
      <c r="P79" s="837"/>
      <c r="Q79" s="972"/>
      <c r="R79" s="972"/>
    </row>
    <row r="80" spans="1:18" s="744" customFormat="1">
      <c r="A80" s="961"/>
      <c r="B80" s="960" t="s">
        <v>1850</v>
      </c>
      <c r="C80" s="959" t="s">
        <v>6</v>
      </c>
      <c r="D80" s="962">
        <f>เปรียบเทียบราคาวัสดุ!Q270</f>
        <v>2314.4899999999998</v>
      </c>
      <c r="E80" s="962">
        <f>เปรียบเทียบราคาวัสดุ!R270</f>
        <v>20</v>
      </c>
      <c r="F80" s="962">
        <v>0</v>
      </c>
      <c r="G80" s="962">
        <v>0</v>
      </c>
      <c r="H80" s="962">
        <f t="shared" si="5"/>
        <v>20</v>
      </c>
      <c r="I80" s="957">
        <f>เปรียบเทียบราคาวัสดุ!S270</f>
        <v>63.44</v>
      </c>
      <c r="J80" s="957">
        <f t="shared" si="6"/>
        <v>2377.9299999999998</v>
      </c>
      <c r="K80" s="963" t="str">
        <f>เปรียบเทียบราคาวัสดุ!M270</f>
        <v>สำนักงานพาณิชย์ จังหวัดพัทลุง</v>
      </c>
      <c r="M80" s="837"/>
      <c r="N80" s="837"/>
      <c r="O80" s="837"/>
      <c r="P80" s="837"/>
      <c r="Q80" s="972"/>
      <c r="R80" s="972"/>
    </row>
    <row r="81" spans="1:19" s="744" customFormat="1">
      <c r="A81" s="961"/>
      <c r="B81" s="960" t="s">
        <v>1851</v>
      </c>
      <c r="C81" s="959" t="s">
        <v>6</v>
      </c>
      <c r="D81" s="962">
        <f>เปรียบเทียบราคาวัสดุ!Q271</f>
        <v>2381.31</v>
      </c>
      <c r="E81" s="962">
        <f>เปรียบเทียบราคาวัสดุ!R271</f>
        <v>20</v>
      </c>
      <c r="F81" s="962">
        <v>0</v>
      </c>
      <c r="G81" s="962">
        <v>0</v>
      </c>
      <c r="H81" s="962">
        <f t="shared" si="5"/>
        <v>20</v>
      </c>
      <c r="I81" s="957">
        <f>เปรียบเทียบราคาวัสดุ!S271</f>
        <v>63.44</v>
      </c>
      <c r="J81" s="957">
        <f t="shared" si="6"/>
        <v>2444.75</v>
      </c>
      <c r="K81" s="963" t="str">
        <f>เปรียบเทียบราคาวัสดุ!M271</f>
        <v>สำนักงานพาณิชย์ จังหวัดพัทลุง</v>
      </c>
      <c r="M81" s="837"/>
      <c r="N81" s="837"/>
      <c r="O81" s="837"/>
      <c r="P81" s="837"/>
      <c r="Q81" s="972"/>
      <c r="R81" s="972"/>
    </row>
    <row r="82" spans="1:19" s="744" customFormat="1">
      <c r="A82" s="961"/>
      <c r="B82" s="960" t="s">
        <v>1852</v>
      </c>
      <c r="C82" s="959" t="s">
        <v>6</v>
      </c>
      <c r="D82" s="962">
        <f>เปรียบเทียบราคาวัสดุ!Q272</f>
        <v>2456.54</v>
      </c>
      <c r="E82" s="962">
        <f>เปรียบเทียบราคาวัสดุ!R272</f>
        <v>20</v>
      </c>
      <c r="F82" s="962">
        <v>0</v>
      </c>
      <c r="G82" s="962">
        <v>0</v>
      </c>
      <c r="H82" s="962">
        <f t="shared" si="5"/>
        <v>20</v>
      </c>
      <c r="I82" s="957">
        <f>เปรียบเทียบราคาวัสดุ!S272</f>
        <v>63.44</v>
      </c>
      <c r="J82" s="957">
        <f t="shared" si="6"/>
        <v>2519.98</v>
      </c>
      <c r="K82" s="963" t="str">
        <f>เปรียบเทียบราคาวัสดุ!M272</f>
        <v>สำนักงานพาณิชย์ จังหวัดพัทลุง</v>
      </c>
      <c r="M82" s="837"/>
      <c r="N82" s="837"/>
      <c r="O82" s="837"/>
      <c r="P82" s="837"/>
      <c r="Q82" s="972"/>
      <c r="R82" s="972"/>
    </row>
    <row r="83" spans="1:19" s="744" customFormat="1">
      <c r="A83" s="961">
        <v>16</v>
      </c>
      <c r="B83" s="983" t="s">
        <v>602</v>
      </c>
      <c r="C83" s="959" t="s">
        <v>1259</v>
      </c>
      <c r="D83" s="962">
        <f>เปรียบเทียบราคาวัสดุ!B293</f>
        <v>395</v>
      </c>
      <c r="E83" s="962">
        <f>เปรียบเทียบราคาวัสดุ!E293</f>
        <v>23</v>
      </c>
      <c r="F83" s="962">
        <v>0</v>
      </c>
      <c r="G83" s="962">
        <v>0</v>
      </c>
      <c r="H83" s="962">
        <f t="shared" si="5"/>
        <v>23</v>
      </c>
      <c r="I83" s="957">
        <f>เปรียบเทียบราคาวัสดุ!H293</f>
        <v>2.0589235127478758</v>
      </c>
      <c r="J83" s="957">
        <f t="shared" si="6"/>
        <v>397.05892351274787</v>
      </c>
      <c r="K83" s="963" t="str">
        <f>เปรียบเทียบราคาวัสดุ!C292</f>
        <v>ร้านไม้ทุ่งคายโรงไม้</v>
      </c>
      <c r="M83" s="837"/>
      <c r="N83" s="837"/>
      <c r="O83" s="837"/>
      <c r="P83" s="837"/>
      <c r="Q83" s="972"/>
      <c r="R83" s="972"/>
    </row>
    <row r="84" spans="1:19" s="744" customFormat="1">
      <c r="A84" s="961">
        <v>17</v>
      </c>
      <c r="B84" s="983" t="s">
        <v>175</v>
      </c>
      <c r="C84" s="959"/>
      <c r="D84" s="962"/>
      <c r="E84" s="962"/>
      <c r="F84" s="962"/>
      <c r="G84" s="962"/>
      <c r="H84" s="962"/>
      <c r="I84" s="962"/>
      <c r="J84" s="962"/>
      <c r="K84" s="975"/>
      <c r="M84" s="837"/>
      <c r="N84" s="837"/>
      <c r="O84" s="837"/>
      <c r="P84" s="837"/>
      <c r="Q84" s="972"/>
      <c r="R84" s="972"/>
    </row>
    <row r="85" spans="1:19" s="744" customFormat="1">
      <c r="A85" s="961"/>
      <c r="B85" s="983" t="s">
        <v>1951</v>
      </c>
      <c r="C85" s="959" t="s">
        <v>92</v>
      </c>
      <c r="D85" s="962">
        <f>เปรียบเทียบราคาวัสดุ!Q306</f>
        <v>27100</v>
      </c>
      <c r="E85" s="962">
        <f>เปรียบเทียบราคาวัสดุ!R306</f>
        <v>250</v>
      </c>
      <c r="F85" s="962">
        <v>0</v>
      </c>
      <c r="G85" s="962">
        <v>0</v>
      </c>
      <c r="H85" s="962">
        <f>SUM(E85:G85)</f>
        <v>250</v>
      </c>
      <c r="I85" s="957">
        <f>เปรียบเทียบราคาวัสดุ!S306</f>
        <v>338.15</v>
      </c>
      <c r="J85" s="962">
        <f>D85+I85</f>
        <v>27438.15</v>
      </c>
      <c r="K85" s="975" t="str">
        <f>เปรียบเทียบราคาวัสดุ!M306</f>
        <v>สำนักดัชนีเศรษฐกิจการค้า กรุงเทพมหานคร</v>
      </c>
      <c r="M85" s="837"/>
      <c r="N85" s="837"/>
      <c r="O85" s="837"/>
      <c r="P85" s="837"/>
      <c r="Q85" s="972"/>
      <c r="R85" s="972"/>
    </row>
    <row r="86" spans="1:19" s="744" customFormat="1">
      <c r="A86" s="961"/>
      <c r="B86" s="983" t="s">
        <v>176</v>
      </c>
      <c r="C86" s="959" t="s">
        <v>92</v>
      </c>
      <c r="D86" s="962">
        <f>เปรียบเทียบราคาวัสดุ!Q307</f>
        <v>36100</v>
      </c>
      <c r="E86" s="962">
        <f>เปรียบเทียบราคาวัสดุ!R307</f>
        <v>250</v>
      </c>
      <c r="F86" s="962">
        <v>0</v>
      </c>
      <c r="G86" s="962">
        <v>0</v>
      </c>
      <c r="H86" s="962">
        <f t="shared" ref="H86:H91" si="7">SUM(E86:G86)</f>
        <v>250</v>
      </c>
      <c r="I86" s="957">
        <f>เปรียบเทียบราคาวัสดุ!S307</f>
        <v>338.15</v>
      </c>
      <c r="J86" s="962">
        <f t="shared" ref="J86:J91" si="8">D86+I86</f>
        <v>36438.15</v>
      </c>
      <c r="K86" s="975" t="str">
        <f>เปรียบเทียบราคาวัสดุ!M307</f>
        <v>สำนักดัชนีเศรษฐกิจการค้า กรุงเทพมหานคร</v>
      </c>
      <c r="M86" s="837"/>
      <c r="N86" s="837"/>
      <c r="O86" s="837"/>
      <c r="P86" s="837"/>
      <c r="Q86" s="972"/>
      <c r="R86" s="972"/>
    </row>
    <row r="87" spans="1:19" s="744" customFormat="1">
      <c r="A87" s="961"/>
      <c r="B87" s="983" t="s">
        <v>177</v>
      </c>
      <c r="C87" s="959" t="s">
        <v>92</v>
      </c>
      <c r="D87" s="962">
        <f>เปรียบเทียบราคาวัสดุ!Q308</f>
        <v>22700</v>
      </c>
      <c r="E87" s="962">
        <f>เปรียบเทียบราคาวัสดุ!R308</f>
        <v>250</v>
      </c>
      <c r="F87" s="962">
        <v>0</v>
      </c>
      <c r="G87" s="962">
        <v>0</v>
      </c>
      <c r="H87" s="962">
        <f t="shared" si="7"/>
        <v>250</v>
      </c>
      <c r="I87" s="957">
        <f>เปรียบเทียบราคาวัสดุ!S308</f>
        <v>338.15</v>
      </c>
      <c r="J87" s="962">
        <f t="shared" si="8"/>
        <v>23038.15</v>
      </c>
      <c r="K87" s="975" t="str">
        <f>เปรียบเทียบราคาวัสดุ!M308</f>
        <v>สำนักดัชนีเศรษฐกิจการค้า กรุงเทพมหานคร</v>
      </c>
      <c r="M87" s="837"/>
      <c r="N87" s="837"/>
      <c r="O87" s="837"/>
      <c r="P87" s="837"/>
      <c r="Q87" s="837"/>
      <c r="R87" s="837"/>
      <c r="S87" s="667"/>
    </row>
    <row r="88" spans="1:19" s="744" customFormat="1">
      <c r="A88" s="961"/>
      <c r="B88" s="983" t="s">
        <v>178</v>
      </c>
      <c r="C88" s="959" t="s">
        <v>92</v>
      </c>
      <c r="D88" s="962">
        <f>เปรียบเทียบราคาวัสดุ!Q309</f>
        <v>22500</v>
      </c>
      <c r="E88" s="962">
        <f>เปรียบเทียบราคาวัสดุ!R309</f>
        <v>250</v>
      </c>
      <c r="F88" s="962">
        <v>0</v>
      </c>
      <c r="G88" s="962">
        <v>0</v>
      </c>
      <c r="H88" s="962">
        <f t="shared" si="7"/>
        <v>250</v>
      </c>
      <c r="I88" s="957">
        <f>เปรียบเทียบราคาวัสดุ!S309</f>
        <v>338.15</v>
      </c>
      <c r="J88" s="962">
        <f t="shared" si="8"/>
        <v>22838.15</v>
      </c>
      <c r="K88" s="975" t="str">
        <f>เปรียบเทียบราคาวัสดุ!M309</f>
        <v>สำนักดัชนีเศรษฐกิจการค้า กรุงเทพมหานคร</v>
      </c>
      <c r="M88" s="837"/>
      <c r="N88" s="837"/>
      <c r="O88" s="837"/>
      <c r="P88" s="837"/>
      <c r="Q88" s="837"/>
      <c r="R88" s="837"/>
      <c r="S88" s="667"/>
    </row>
    <row r="89" spans="1:19" s="744" customFormat="1">
      <c r="A89" s="961"/>
      <c r="B89" s="983" t="s">
        <v>179</v>
      </c>
      <c r="C89" s="959" t="s">
        <v>92</v>
      </c>
      <c r="D89" s="962">
        <f>เปรียบเทียบราคาวัสดุ!Q310</f>
        <v>22900</v>
      </c>
      <c r="E89" s="962">
        <f>เปรียบเทียบราคาวัสดุ!R310</f>
        <v>250</v>
      </c>
      <c r="F89" s="962">
        <v>0</v>
      </c>
      <c r="G89" s="962">
        <v>0</v>
      </c>
      <c r="H89" s="962">
        <f t="shared" si="7"/>
        <v>250</v>
      </c>
      <c r="I89" s="957">
        <f>เปรียบเทียบราคาวัสดุ!S310</f>
        <v>338.15</v>
      </c>
      <c r="J89" s="962">
        <f t="shared" si="8"/>
        <v>23238.15</v>
      </c>
      <c r="K89" s="975" t="str">
        <f>เปรียบเทียบราคาวัสดุ!M310</f>
        <v>สำนักดัชนีเศรษฐกิจการค้า กรุงเทพมหานคร</v>
      </c>
      <c r="M89" s="837"/>
      <c r="N89" s="837"/>
      <c r="O89" s="837"/>
      <c r="P89" s="837"/>
      <c r="Q89" s="837"/>
      <c r="R89" s="837"/>
      <c r="S89" s="667"/>
    </row>
    <row r="90" spans="1:19" s="744" customFormat="1">
      <c r="A90" s="961"/>
      <c r="B90" s="983" t="s">
        <v>2003</v>
      </c>
      <c r="C90" s="959" t="s">
        <v>92</v>
      </c>
      <c r="D90" s="962">
        <f>เปรียบเทียบราคาวัสดุ!Q311</f>
        <v>32400</v>
      </c>
      <c r="E90" s="962">
        <f>เปรียบเทียบราคาวัสดุ!R311</f>
        <v>250</v>
      </c>
      <c r="F90" s="962">
        <v>0</v>
      </c>
      <c r="G90" s="962">
        <v>0</v>
      </c>
      <c r="H90" s="962">
        <f>SUM(E90:G90)</f>
        <v>250</v>
      </c>
      <c r="I90" s="957">
        <f>เปรียบเทียบราคาวัสดุ!S311</f>
        <v>338.15</v>
      </c>
      <c r="J90" s="962">
        <f>D90+I90</f>
        <v>32738.15</v>
      </c>
      <c r="K90" s="975" t="str">
        <f>เปรียบเทียบราคาวัสดุ!M311</f>
        <v>สำนักดัชนีเศรษฐกิจการค้า กรุงเทพมหานคร</v>
      </c>
      <c r="M90" s="837"/>
      <c r="N90" s="837"/>
      <c r="O90" s="837"/>
      <c r="P90" s="837"/>
      <c r="Q90" s="837"/>
      <c r="R90" s="837"/>
      <c r="S90" s="667"/>
    </row>
    <row r="91" spans="1:19" s="744" customFormat="1">
      <c r="A91" s="961"/>
      <c r="B91" s="983" t="s">
        <v>180</v>
      </c>
      <c r="C91" s="959" t="s">
        <v>92</v>
      </c>
      <c r="D91" s="962">
        <f>เปรียบเทียบราคาวัสดุ!Q312</f>
        <v>22900</v>
      </c>
      <c r="E91" s="962">
        <f>เปรียบเทียบราคาวัสดุ!R312</f>
        <v>250</v>
      </c>
      <c r="F91" s="962">
        <v>0</v>
      </c>
      <c r="G91" s="962">
        <v>0</v>
      </c>
      <c r="H91" s="962">
        <f t="shared" si="7"/>
        <v>250</v>
      </c>
      <c r="I91" s="957">
        <f>เปรียบเทียบราคาวัสดุ!S312</f>
        <v>338.15</v>
      </c>
      <c r="J91" s="962">
        <f t="shared" si="8"/>
        <v>23238.15</v>
      </c>
      <c r="K91" s="975" t="str">
        <f>เปรียบเทียบราคาวัสดุ!M312</f>
        <v>สำนักดัชนีเศรษฐกิจการค้า กรุงเทพมหานคร</v>
      </c>
      <c r="M91" s="837"/>
      <c r="N91" s="837"/>
      <c r="O91" s="837"/>
      <c r="P91" s="837"/>
      <c r="Q91" s="837"/>
      <c r="R91" s="837"/>
      <c r="S91" s="667"/>
    </row>
    <row r="92" spans="1:19" s="744" customFormat="1">
      <c r="A92" s="965">
        <v>18</v>
      </c>
      <c r="B92" s="979" t="s">
        <v>1728</v>
      </c>
      <c r="C92" s="980"/>
      <c r="D92" s="981"/>
      <c r="E92" s="981"/>
      <c r="F92" s="981"/>
      <c r="G92" s="981"/>
      <c r="H92" s="981"/>
      <c r="I92" s="981"/>
      <c r="J92" s="981"/>
      <c r="K92" s="982"/>
      <c r="L92" s="667"/>
      <c r="M92" s="837"/>
      <c r="N92" s="837"/>
      <c r="O92" s="837"/>
      <c r="P92" s="837"/>
      <c r="Q92" s="837"/>
      <c r="R92" s="837"/>
      <c r="S92" s="667"/>
    </row>
    <row r="93" spans="1:19" s="744" customFormat="1">
      <c r="A93" s="961"/>
      <c r="B93" s="983" t="s">
        <v>1723</v>
      </c>
      <c r="C93" s="959" t="s">
        <v>1729</v>
      </c>
      <c r="D93" s="962">
        <f>เปรียบเทียบราคาวัสดุ!Q325</f>
        <v>3737.2</v>
      </c>
      <c r="E93" s="962">
        <f>เปรียบเทียบราคาวัสดุ!R325</f>
        <v>73</v>
      </c>
      <c r="F93" s="962">
        <v>0</v>
      </c>
      <c r="G93" s="962">
        <v>0</v>
      </c>
      <c r="H93" s="962">
        <f>SUM(E93:G93)</f>
        <v>73</v>
      </c>
      <c r="I93" s="957">
        <f>เปรียบเทียบราคาวัสดุ!S325</f>
        <v>162.07</v>
      </c>
      <c r="J93" s="962">
        <f>D93+I93</f>
        <v>3899.27</v>
      </c>
      <c r="K93" s="975" t="str">
        <f>เปรียบเทียบราคาวัสดุ!N325</f>
        <v>อ.หาดใหญ่ จ.สงขลา</v>
      </c>
      <c r="L93" s="667"/>
      <c r="M93" s="837"/>
      <c r="N93" s="837"/>
      <c r="O93" s="837"/>
      <c r="P93" s="837"/>
      <c r="Q93" s="972"/>
      <c r="R93" s="972"/>
    </row>
    <row r="94" spans="1:19" s="744" customFormat="1">
      <c r="A94" s="961"/>
      <c r="B94" s="983" t="s">
        <v>1725</v>
      </c>
      <c r="C94" s="959" t="s">
        <v>1729</v>
      </c>
      <c r="D94" s="962">
        <f>เปรียบเทียบราคาวัสดุ!Q326</f>
        <v>2140</v>
      </c>
      <c r="E94" s="962">
        <f>เปรียบเทียบราคาวัสดุ!R326</f>
        <v>73</v>
      </c>
      <c r="F94" s="962">
        <v>0</v>
      </c>
      <c r="G94" s="962">
        <v>0</v>
      </c>
      <c r="H94" s="962">
        <f>SUM(E94:G94)</f>
        <v>73</v>
      </c>
      <c r="I94" s="957">
        <f>เปรียบเทียบราคาวัสดุ!S326</f>
        <v>162.07</v>
      </c>
      <c r="J94" s="962">
        <f>D94+I94</f>
        <v>2302.0700000000002</v>
      </c>
      <c r="K94" s="975" t="str">
        <f>เปรียบเทียบราคาวัสดุ!N326</f>
        <v>อ.หาดใหญ่ จ.สงขลา</v>
      </c>
      <c r="L94" s="667"/>
      <c r="M94" s="837"/>
      <c r="N94" s="837"/>
      <c r="O94" s="837"/>
      <c r="P94" s="837"/>
      <c r="Q94" s="837"/>
      <c r="R94" s="837"/>
      <c r="S94" s="667"/>
    </row>
    <row r="95" spans="1:19">
      <c r="A95" s="961"/>
      <c r="B95" s="983" t="s">
        <v>1730</v>
      </c>
      <c r="C95" s="959" t="s">
        <v>1729</v>
      </c>
      <c r="D95" s="962">
        <f>เปรียบเทียบราคาวัสดุ!Q327</f>
        <v>1600</v>
      </c>
      <c r="E95" s="962">
        <f>เปรียบเทียบราคาวัสดุ!R327</f>
        <v>73</v>
      </c>
      <c r="F95" s="962">
        <v>0</v>
      </c>
      <c r="G95" s="962">
        <v>0</v>
      </c>
      <c r="H95" s="962">
        <f>SUM(E95:G95)</f>
        <v>73</v>
      </c>
      <c r="I95" s="957">
        <f>เปรียบเทียบราคาวัสดุ!S327</f>
        <v>162.07</v>
      </c>
      <c r="J95" s="962">
        <f>D95+I95</f>
        <v>1762.07</v>
      </c>
      <c r="K95" s="975" t="str">
        <f>เปรียบเทียบราคาวัสดุ!N327</f>
        <v>อ.หาดใหญ่ จ.สงขลา</v>
      </c>
    </row>
    <row r="96" spans="1:19">
      <c r="A96" s="986"/>
      <c r="B96" s="987" t="s">
        <v>1727</v>
      </c>
      <c r="C96" s="988" t="s">
        <v>7</v>
      </c>
      <c r="D96" s="990">
        <f>เปรียบเทียบราคาวัสดุ!Q328</f>
        <v>50</v>
      </c>
      <c r="E96" s="990">
        <f>เปรียบเทียบราคาวัสดุ!R328</f>
        <v>73</v>
      </c>
      <c r="F96" s="990">
        <v>0</v>
      </c>
      <c r="G96" s="990">
        <v>0</v>
      </c>
      <c r="H96" s="990">
        <f>SUM(E96:G96)</f>
        <v>73</v>
      </c>
      <c r="I96" s="989">
        <f>เปรียบเทียบราคาวัสดุ!S328</f>
        <v>162.07</v>
      </c>
      <c r="J96" s="990">
        <f>D96+I96</f>
        <v>212.07</v>
      </c>
      <c r="K96" s="991" t="str">
        <f>เปรียบเทียบราคาวัสดุ!N328</f>
        <v>อ.หาดใหญ่ จ.สงขลา</v>
      </c>
    </row>
  </sheetData>
  <mergeCells count="7">
    <mergeCell ref="A1:K1"/>
    <mergeCell ref="A2:K2"/>
    <mergeCell ref="A7:A10"/>
    <mergeCell ref="B7:B10"/>
    <mergeCell ref="C7:C10"/>
    <mergeCell ref="K7:K10"/>
    <mergeCell ref="E8:H8"/>
  </mergeCells>
  <printOptions horizontalCentered="1"/>
  <pageMargins left="0.39370078740157483" right="0.19685039370078741" top="0.78740157480314965" bottom="0.19685039370078741" header="0" footer="0"/>
  <pageSetup paperSize="9" scale="3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A1:CA1490"/>
  <sheetViews>
    <sheetView view="pageBreakPreview" topLeftCell="A19" zoomScale="130" zoomScaleSheetLayoutView="130" workbookViewId="0">
      <selection activeCell="F23" sqref="F23"/>
    </sheetView>
  </sheetViews>
  <sheetFormatPr defaultColWidth="9" defaultRowHeight="21.75"/>
  <cols>
    <col min="1" max="1" width="3.75" style="976" customWidth="1"/>
    <col min="2" max="2" width="6.125" style="997" customWidth="1"/>
    <col min="3" max="3" width="11.875" style="997" customWidth="1"/>
    <col min="4" max="4" width="11.875" style="978" customWidth="1"/>
    <col min="5" max="5" width="3.375" style="997" customWidth="1"/>
    <col min="6" max="6" width="10.75" style="997" customWidth="1"/>
    <col min="7" max="7" width="8.875" style="1000" customWidth="1"/>
    <col min="8" max="8" width="8" style="997" customWidth="1"/>
    <col min="9" max="10" width="9.125" style="997" customWidth="1"/>
    <col min="11" max="11" width="8.875" style="997" customWidth="1"/>
    <col min="12" max="12" width="4.75" style="976" customWidth="1"/>
    <col min="13" max="13" width="6.75" style="976" customWidth="1"/>
    <col min="14" max="14" width="14.75" style="976" customWidth="1"/>
    <col min="15" max="15" width="9" style="976"/>
    <col min="16" max="16" width="9" style="978"/>
    <col min="17" max="18" width="9" style="976"/>
    <col min="19" max="19" width="9" style="978"/>
    <col min="20" max="56" width="9" style="976"/>
    <col min="57" max="57" width="12.625" style="976" customWidth="1"/>
    <col min="58" max="68" width="9" style="976"/>
    <col min="69" max="69" width="10.625" style="976" customWidth="1"/>
    <col min="70" max="71" width="9" style="976"/>
    <col min="72" max="72" width="10.625" style="976" customWidth="1"/>
    <col min="73" max="16384" width="9" style="976"/>
  </cols>
  <sheetData>
    <row r="1" spans="1:17">
      <c r="A1" s="1663" t="s">
        <v>1363</v>
      </c>
      <c r="B1" s="1663"/>
      <c r="C1" s="1663"/>
      <c r="D1" s="1663"/>
      <c r="E1" s="1663"/>
      <c r="F1" s="1663"/>
      <c r="G1" s="1663"/>
      <c r="H1" s="1663"/>
      <c r="I1" s="1663"/>
      <c r="J1" s="1663"/>
      <c r="K1" s="1663"/>
      <c r="L1" s="1663"/>
      <c r="M1" s="1663"/>
      <c r="N1" s="1034"/>
      <c r="P1" s="992">
        <v>0</v>
      </c>
    </row>
    <row r="2" spans="1:17">
      <c r="A2" s="1664" t="str">
        <f>"(ใช้ราคาเฉลี่ยน้ำมันที่อำเภอเมือง ลิตรละ .."&amp;FIXED(เปรียบเทียบราคาวัสดุ!C3,2)&amp;"..บาท  หาค่าขนส่ง,ค่าดำเนินการและค่าเสื่อมราคา)"</f>
        <v>(ใช้ราคาเฉลี่ยน้ำมันที่อำเภอเมือง ลิตรละ ..22.50..บาท  หาค่าขนส่ง,ค่าดำเนินการและค่าเสื่อมราคา)</v>
      </c>
      <c r="B2" s="1664"/>
      <c r="C2" s="1664"/>
      <c r="D2" s="1664"/>
      <c r="E2" s="1664"/>
      <c r="F2" s="1664"/>
      <c r="G2" s="1664"/>
      <c r="H2" s="1664"/>
      <c r="I2" s="1664"/>
      <c r="J2" s="1664"/>
      <c r="K2" s="1664"/>
      <c r="L2" s="1664"/>
      <c r="M2" s="1664"/>
      <c r="N2" s="996"/>
      <c r="P2" s="993" t="s">
        <v>1328</v>
      </c>
    </row>
    <row r="3" spans="1:17">
      <c r="A3" s="994"/>
      <c r="B3" s="1662" t="str">
        <f>ปร.4_1!C2</f>
        <v>ซ่อมแซมผิวทางแบบเซอร์เฟซทรีตเมนต์ชั้นเดียว S.S.T.  สายป่าตอ-ใสขรบ   หมู่ที่ 5</v>
      </c>
      <c r="C3" s="1662"/>
      <c r="D3" s="1662"/>
      <c r="E3" s="1662"/>
      <c r="F3" s="1662"/>
      <c r="G3" s="1662"/>
      <c r="H3" s="1662"/>
      <c r="I3" s="1662"/>
      <c r="J3" s="995"/>
      <c r="K3" s="995"/>
      <c r="L3" s="995"/>
      <c r="M3" s="995"/>
      <c r="N3" s="995"/>
      <c r="P3" s="993" t="s">
        <v>1340</v>
      </c>
    </row>
    <row r="4" spans="1:17">
      <c r="A4" s="996" t="s">
        <v>1234</v>
      </c>
      <c r="B4" s="996"/>
      <c r="C4" s="996" t="str">
        <f>'ปร.5 ท'!C6</f>
        <v>ตำบลควนขนุน อำเภอควนขนุน  จังหวัดพัทลุง</v>
      </c>
      <c r="E4" s="996"/>
      <c r="F4" s="996"/>
      <c r="G4" s="995"/>
      <c r="H4" s="996"/>
      <c r="I4" s="996"/>
      <c r="J4" s="996"/>
      <c r="K4" s="996"/>
      <c r="L4" s="996"/>
      <c r="M4" s="996"/>
      <c r="P4" s="993" t="s">
        <v>1197</v>
      </c>
    </row>
    <row r="5" spans="1:17">
      <c r="A5" s="994" t="str">
        <f>'ปร.5 ท'!A17&amp;" "&amp;'ปร.5 ท'!C17&amp;" "&amp;'ปร.5 ท'!D17&amp;'ปร.5 ท'!E17&amp;" "&amp;'ปร.5 ท'!F17&amp;" "&amp;'ปร.5 ท'!G17</f>
        <v>ประมาณราคาวันที่ 30 เดือนมิถุนายน พ.ศ. 2563</v>
      </c>
      <c r="B5" s="994"/>
      <c r="D5" s="998"/>
      <c r="E5" s="994"/>
      <c r="F5" s="994"/>
      <c r="G5" s="995"/>
      <c r="H5" s="994"/>
      <c r="I5" s="994"/>
      <c r="J5" s="994"/>
      <c r="K5" s="994"/>
      <c r="L5" s="994"/>
      <c r="M5" s="994"/>
      <c r="P5" s="993" t="s">
        <v>141</v>
      </c>
    </row>
    <row r="6" spans="1:17">
      <c r="B6" s="999" t="str">
        <f>ปร.4_1!B10</f>
        <v>ประเภทงานทาง</v>
      </c>
    </row>
    <row r="7" spans="1:17">
      <c r="A7" s="1001">
        <f>ปร.4_1!A11</f>
        <v>1</v>
      </c>
      <c r="B7" s="1002" t="str">
        <f>ปร.4_1!B11</f>
        <v>งานปรับปรุงโครงสร้างทาง</v>
      </c>
    </row>
    <row r="8" spans="1:17" hidden="1">
      <c r="A8" s="1001"/>
      <c r="B8" s="1003">
        <f>ปร.4_1!B12</f>
        <v>1.1000000000000001</v>
      </c>
      <c r="C8" s="1002" t="str">
        <f>ปร.4_1!C12</f>
        <v>งานถางป่าขุดตอ</v>
      </c>
    </row>
    <row r="9" spans="1:17" hidden="1">
      <c r="A9" s="1001"/>
      <c r="B9" s="1002"/>
      <c r="C9" s="1004" t="s">
        <v>940</v>
      </c>
      <c r="D9" s="997"/>
      <c r="F9" s="1005" t="s">
        <v>937</v>
      </c>
      <c r="P9" s="1006" t="s">
        <v>937</v>
      </c>
      <c r="Q9" s="1006">
        <f>ค่าดำเนินการ!H8</f>
        <v>1.69</v>
      </c>
    </row>
    <row r="10" spans="1:17" hidden="1">
      <c r="A10" s="1001"/>
      <c r="B10" s="1002"/>
      <c r="C10" s="1004" t="s">
        <v>618</v>
      </c>
      <c r="D10" s="997"/>
      <c r="F10" s="1000" t="s">
        <v>190</v>
      </c>
      <c r="G10" s="1007">
        <f>IF(F9=P9,Q9,IF(F9=P10,Q10,Q11))</f>
        <v>1.69</v>
      </c>
      <c r="H10" s="997" t="s">
        <v>191</v>
      </c>
      <c r="I10" s="997" t="s">
        <v>192</v>
      </c>
      <c r="P10" s="1006" t="s">
        <v>938</v>
      </c>
      <c r="Q10" s="1006">
        <f>ค่าดำเนินการ!H9</f>
        <v>3.55</v>
      </c>
    </row>
    <row r="11" spans="1:17" ht="22.5" hidden="1" thickBot="1">
      <c r="A11" s="1001"/>
      <c r="B11" s="1002"/>
      <c r="C11" s="1004" t="s">
        <v>619</v>
      </c>
      <c r="D11" s="997"/>
      <c r="F11" s="1000" t="s">
        <v>190</v>
      </c>
      <c r="G11" s="1008">
        <f>G10</f>
        <v>1.69</v>
      </c>
      <c r="H11" s="997" t="s">
        <v>191</v>
      </c>
      <c r="P11" s="1006" t="s">
        <v>939</v>
      </c>
      <c r="Q11" s="1006">
        <f>ค่าดำเนินการ!H10</f>
        <v>5.29</v>
      </c>
    </row>
    <row r="12" spans="1:17" ht="22.5" hidden="1" thickTop="1">
      <c r="A12" s="1001"/>
      <c r="B12" s="1002"/>
    </row>
    <row r="13" spans="1:17" hidden="1">
      <c r="A13" s="1001"/>
      <c r="B13" s="1002"/>
      <c r="C13" s="1009" t="s">
        <v>3</v>
      </c>
      <c r="D13" s="684"/>
      <c r="E13" s="684"/>
      <c r="F13" s="684"/>
      <c r="G13" s="684"/>
      <c r="H13" s="684"/>
      <c r="I13" s="684"/>
      <c r="J13" s="684"/>
    </row>
    <row r="14" spans="1:17" hidden="1">
      <c r="A14" s="1001"/>
      <c r="B14" s="1002"/>
      <c r="C14" s="684" t="s">
        <v>714</v>
      </c>
      <c r="D14" s="684"/>
      <c r="E14" s="684"/>
      <c r="F14" s="684" t="s">
        <v>715</v>
      </c>
      <c r="G14" s="684"/>
      <c r="H14" s="684"/>
      <c r="I14" s="684"/>
      <c r="J14" s="684"/>
    </row>
    <row r="15" spans="1:17" hidden="1">
      <c r="A15" s="1001"/>
      <c r="B15" s="1002"/>
      <c r="C15" s="684" t="s">
        <v>716</v>
      </c>
      <c r="D15" s="684"/>
      <c r="E15" s="684"/>
      <c r="F15" s="684" t="s">
        <v>717</v>
      </c>
      <c r="G15" s="684"/>
      <c r="H15" s="684"/>
      <c r="I15" s="684"/>
      <c r="J15" s="684"/>
    </row>
    <row r="16" spans="1:17" hidden="1">
      <c r="A16" s="1001"/>
      <c r="B16" s="1002"/>
      <c r="C16" s="684" t="s">
        <v>718</v>
      </c>
      <c r="D16" s="684"/>
      <c r="E16" s="684"/>
      <c r="F16" s="684" t="s">
        <v>720</v>
      </c>
      <c r="G16" s="684"/>
      <c r="H16" s="684"/>
      <c r="I16" s="684"/>
      <c r="J16" s="684"/>
    </row>
    <row r="17" spans="1:12" hidden="1">
      <c r="A17" s="1001"/>
      <c r="B17" s="1002"/>
      <c r="C17" s="684" t="s">
        <v>719</v>
      </c>
      <c r="D17" s="684"/>
      <c r="E17" s="684"/>
      <c r="F17" s="684"/>
      <c r="G17" s="684"/>
      <c r="H17" s="684"/>
      <c r="I17" s="684"/>
      <c r="J17" s="684"/>
    </row>
    <row r="18" spans="1:12" hidden="1">
      <c r="A18" s="1001"/>
      <c r="B18" s="1002"/>
    </row>
    <row r="19" spans="1:12">
      <c r="A19" s="1001"/>
      <c r="B19" s="1482">
        <f>ปร.4_1!B13</f>
        <v>1.1000000000000001</v>
      </c>
      <c r="C19" s="1002" t="str">
        <f>ปร.4_1!C13&amp;" "&amp;FIXED(ปร.4_1!W13,2)&amp;" "&amp;ปร.4_1!X13</f>
        <v>งานขุดรื้อผิวทางและไหล่ทางเดิม แล้วบดอัดแน่น 0.00 ซม.</v>
      </c>
      <c r="D19" s="997"/>
    </row>
    <row r="20" spans="1:12">
      <c r="A20" s="1001"/>
      <c r="C20" s="682" t="s">
        <v>2097</v>
      </c>
      <c r="D20" s="997"/>
    </row>
    <row r="21" spans="1:12">
      <c r="A21" s="1001"/>
      <c r="C21" s="682" t="s">
        <v>2096</v>
      </c>
      <c r="D21" s="997"/>
      <c r="H21" s="1000" t="s">
        <v>190</v>
      </c>
      <c r="I21" s="997">
        <f>ค่าดำเนินการ!H35</f>
        <v>11.02</v>
      </c>
      <c r="J21" s="1011" t="s">
        <v>191</v>
      </c>
      <c r="K21" s="684" t="s">
        <v>199</v>
      </c>
      <c r="L21" s="1012"/>
    </row>
    <row r="22" spans="1:12">
      <c r="A22" s="1001"/>
      <c r="C22" s="1013" t="s">
        <v>1633</v>
      </c>
      <c r="D22" s="997"/>
      <c r="F22" s="1014">
        <v>5</v>
      </c>
      <c r="G22" s="1015" t="s">
        <v>585</v>
      </c>
      <c r="H22" s="1000" t="s">
        <v>190</v>
      </c>
      <c r="I22" s="997">
        <f>ROUNDDOWN(F22*I21/5,2)</f>
        <v>11.02</v>
      </c>
      <c r="J22" s="1011" t="s">
        <v>191</v>
      </c>
      <c r="K22" s="684" t="str">
        <f>"[2] = "&amp;FIXED(F22/100,2)&amp;" x "&amp;FIXED(I21,2)&amp;" / 0.05"</f>
        <v>[2] = 0.05 x 11.02 / 0.05</v>
      </c>
      <c r="L22" s="1012"/>
    </row>
    <row r="23" spans="1:12">
      <c r="A23" s="1001"/>
      <c r="C23" s="682" t="s">
        <v>721</v>
      </c>
      <c r="D23" s="997"/>
      <c r="K23" s="682"/>
      <c r="L23" s="667"/>
    </row>
    <row r="24" spans="1:12">
      <c r="A24" s="1001"/>
      <c r="C24" s="682" t="s">
        <v>722</v>
      </c>
      <c r="D24" s="997"/>
      <c r="F24" s="1000" t="s">
        <v>190</v>
      </c>
      <c r="G24" s="1016">
        <v>0.05</v>
      </c>
      <c r="H24" s="997" t="s">
        <v>6</v>
      </c>
      <c r="K24" s="682"/>
      <c r="L24" s="667"/>
    </row>
    <row r="25" spans="1:12">
      <c r="A25" s="1001"/>
      <c r="C25" s="682" t="s">
        <v>723</v>
      </c>
      <c r="D25" s="997"/>
      <c r="F25" s="1000" t="s">
        <v>190</v>
      </c>
      <c r="G25" s="1016">
        <f>G24*1.6</f>
        <v>8.0000000000000016E-2</v>
      </c>
      <c r="H25" s="997" t="s">
        <v>6</v>
      </c>
      <c r="K25" s="682"/>
      <c r="L25" s="667"/>
    </row>
    <row r="26" spans="1:12">
      <c r="A26" s="1001"/>
      <c r="C26" s="682" t="s">
        <v>726</v>
      </c>
      <c r="D26" s="997"/>
      <c r="H26" s="1000" t="s">
        <v>190</v>
      </c>
      <c r="I26" s="997">
        <f>ค่าดำเนินการ!H18</f>
        <v>38.07</v>
      </c>
      <c r="J26" s="1011" t="s">
        <v>191</v>
      </c>
      <c r="K26" s="684" t="s">
        <v>831</v>
      </c>
    </row>
    <row r="27" spans="1:12">
      <c r="A27" s="1001"/>
      <c r="C27" s="684" t="s">
        <v>724</v>
      </c>
      <c r="D27" s="997"/>
      <c r="F27" s="1000"/>
      <c r="H27" s="1000" t="s">
        <v>190</v>
      </c>
      <c r="I27" s="997">
        <f>I26*G25</f>
        <v>3.0456000000000008</v>
      </c>
      <c r="J27" s="1011" t="s">
        <v>191</v>
      </c>
      <c r="K27" s="682" t="s">
        <v>1634</v>
      </c>
      <c r="L27" s="1012"/>
    </row>
    <row r="28" spans="1:12">
      <c r="A28" s="1001"/>
      <c r="C28" s="682" t="s">
        <v>725</v>
      </c>
      <c r="D28" s="997"/>
      <c r="H28" s="1000" t="s">
        <v>190</v>
      </c>
      <c r="I28" s="1000"/>
      <c r="J28" s="1011" t="s">
        <v>191</v>
      </c>
      <c r="K28" s="684" t="s">
        <v>1635</v>
      </c>
    </row>
    <row r="29" spans="1:12">
      <c r="A29" s="1001"/>
      <c r="C29" s="684" t="s">
        <v>724</v>
      </c>
      <c r="D29" s="997"/>
      <c r="H29" s="1000" t="s">
        <v>190</v>
      </c>
      <c r="I29" s="1000"/>
      <c r="J29" s="1011" t="s">
        <v>191</v>
      </c>
      <c r="K29" s="682" t="s">
        <v>1636</v>
      </c>
      <c r="L29" s="1016"/>
    </row>
    <row r="30" spans="1:12">
      <c r="A30" s="1001"/>
      <c r="D30" s="997"/>
      <c r="G30" s="1000" t="s">
        <v>26</v>
      </c>
      <c r="H30" s="1000" t="s">
        <v>190</v>
      </c>
      <c r="I30" s="1000">
        <f>I22+I27+I29</f>
        <v>14.0656</v>
      </c>
      <c r="J30" s="1011" t="s">
        <v>191</v>
      </c>
      <c r="K30" s="682" t="s">
        <v>1637</v>
      </c>
      <c r="L30" s="1016"/>
    </row>
    <row r="31" spans="1:12" ht="22.5" thickBot="1">
      <c r="A31" s="1001"/>
      <c r="D31" s="997"/>
      <c r="I31" s="1017">
        <f>I30</f>
        <v>14.0656</v>
      </c>
      <c r="J31" s="1011" t="s">
        <v>191</v>
      </c>
      <c r="K31" s="682" t="s">
        <v>485</v>
      </c>
      <c r="L31" s="1016"/>
    </row>
    <row r="32" spans="1:12" ht="22.5" thickTop="1">
      <c r="A32" s="1001"/>
      <c r="B32" s="1002"/>
    </row>
    <row r="33" spans="2:17">
      <c r="B33" s="1483">
        <f>ปร.4_1!B14</f>
        <v>1.3</v>
      </c>
      <c r="C33" s="1002" t="str">
        <f>ปร.4_1!C14</f>
        <v>งานเกลี่ยปรับคันทางและไหล่ทางเดิมแล้วบดทับ</v>
      </c>
      <c r="D33" s="997"/>
    </row>
    <row r="34" spans="2:17">
      <c r="C34" s="843" t="s">
        <v>920</v>
      </c>
      <c r="D34" s="1018"/>
      <c r="E34" s="1018"/>
      <c r="F34" s="1018"/>
      <c r="I34" s="1019" t="s">
        <v>190</v>
      </c>
      <c r="J34" s="1000">
        <f>ค่าดำเนินการ!H33</f>
        <v>10.66</v>
      </c>
      <c r="K34" s="1018" t="s">
        <v>585</v>
      </c>
      <c r="L34" s="1020" t="s">
        <v>193</v>
      </c>
      <c r="M34" s="574"/>
      <c r="N34" s="667"/>
    </row>
    <row r="35" spans="2:17" ht="22.5" thickBot="1">
      <c r="C35" s="843" t="s">
        <v>195</v>
      </c>
      <c r="D35" s="1018"/>
      <c r="E35" s="1018"/>
      <c r="F35" s="1018"/>
      <c r="G35" s="1021"/>
      <c r="H35" s="1018"/>
      <c r="I35" s="575" t="s">
        <v>190</v>
      </c>
      <c r="J35" s="1017">
        <f>J34</f>
        <v>10.66</v>
      </c>
      <c r="K35" s="1022" t="s">
        <v>191</v>
      </c>
      <c r="L35" s="1020" t="s">
        <v>622</v>
      </c>
      <c r="M35" s="574"/>
      <c r="N35" s="667"/>
      <c r="Q35" s="997"/>
    </row>
    <row r="36" spans="2:17" ht="22.5" thickTop="1">
      <c r="C36" s="1011"/>
      <c r="D36" s="977"/>
      <c r="E36" s="1011"/>
      <c r="F36" s="1011"/>
      <c r="G36" s="1011"/>
      <c r="H36" s="1016"/>
      <c r="I36" s="1011"/>
      <c r="J36" s="1011"/>
      <c r="K36" s="1011"/>
      <c r="L36" s="1016"/>
      <c r="M36" s="1011"/>
    </row>
    <row r="37" spans="2:17" hidden="1">
      <c r="B37" s="1010">
        <f>ปร.4_1!B15</f>
        <v>1.4</v>
      </c>
      <c r="C37" s="1023" t="str">
        <f>ปร.4_1!C15</f>
        <v>งานตัดแต่งขั้นบันได</v>
      </c>
      <c r="D37" s="977"/>
      <c r="E37" s="1011"/>
      <c r="F37" s="1011"/>
      <c r="G37" s="1011"/>
      <c r="H37" s="1016"/>
      <c r="I37" s="1011"/>
      <c r="J37" s="1011"/>
      <c r="K37" s="1011"/>
      <c r="L37" s="1016"/>
      <c r="M37" s="1011"/>
    </row>
    <row r="38" spans="2:17" hidden="1">
      <c r="C38" s="684" t="s">
        <v>1535</v>
      </c>
      <c r="D38" s="1011"/>
      <c r="E38" s="1011"/>
      <c r="F38" s="1011"/>
      <c r="G38" s="1011"/>
      <c r="H38" s="1016" t="s">
        <v>190</v>
      </c>
      <c r="I38" s="1024">
        <f>ค่าดำเนินการ!H15</f>
        <v>20.73</v>
      </c>
      <c r="J38" s="1011" t="s">
        <v>6</v>
      </c>
      <c r="K38" s="1011" t="s">
        <v>193</v>
      </c>
      <c r="L38" s="675" t="s">
        <v>192</v>
      </c>
      <c r="M38" s="667"/>
    </row>
    <row r="39" spans="2:17" hidden="1">
      <c r="C39" s="684" t="s">
        <v>1536</v>
      </c>
      <c r="D39" s="1011"/>
      <c r="E39" s="1011"/>
      <c r="F39" s="1011"/>
      <c r="G39" s="1011"/>
      <c r="H39" s="1016" t="s">
        <v>190</v>
      </c>
      <c r="I39" s="1024">
        <f>ค่าดำเนินการ!H31</f>
        <v>7.89</v>
      </c>
      <c r="J39" s="1011" t="s">
        <v>238</v>
      </c>
      <c r="K39" s="1011" t="s">
        <v>234</v>
      </c>
      <c r="L39" s="675" t="s">
        <v>192</v>
      </c>
      <c r="M39" s="1011"/>
    </row>
    <row r="40" spans="2:17" ht="22.5" hidden="1" thickBot="1">
      <c r="C40" s="684" t="s">
        <v>195</v>
      </c>
      <c r="D40" s="1011"/>
      <c r="E40" s="1012"/>
      <c r="F40" s="1011"/>
      <c r="G40" s="1011"/>
      <c r="H40" s="1016" t="s">
        <v>190</v>
      </c>
      <c r="I40" s="1025">
        <f>SUM(I38:I39)</f>
        <v>28.62</v>
      </c>
      <c r="J40" s="1011" t="s">
        <v>238</v>
      </c>
      <c r="K40" s="1011" t="s">
        <v>1537</v>
      </c>
      <c r="L40" s="807"/>
      <c r="M40" s="667"/>
    </row>
    <row r="41" spans="2:17" ht="22.5" hidden="1" thickTop="1">
      <c r="B41" s="1010"/>
      <c r="C41" s="1023"/>
      <c r="D41" s="977"/>
      <c r="E41" s="1011"/>
      <c r="F41" s="1011"/>
      <c r="G41" s="1011"/>
      <c r="H41" s="1016"/>
      <c r="I41" s="1011"/>
      <c r="J41" s="1011"/>
      <c r="K41" s="1011"/>
      <c r="L41" s="1016"/>
      <c r="M41" s="1011"/>
    </row>
    <row r="42" spans="2:17" hidden="1">
      <c r="B42" s="1010">
        <f>ปร.4_1!B16</f>
        <v>1.5</v>
      </c>
      <c r="C42" s="1023" t="str">
        <f>ปร.4_1!C16</f>
        <v>งานดินตัด</v>
      </c>
      <c r="D42" s="977"/>
      <c r="E42" s="1011"/>
      <c r="F42" s="1011"/>
      <c r="G42" s="1011"/>
      <c r="H42" s="1016"/>
      <c r="I42" s="1011"/>
      <c r="J42" s="1011"/>
      <c r="K42" s="1011"/>
      <c r="L42" s="1016"/>
      <c r="M42" s="1011"/>
    </row>
    <row r="43" spans="2:17" hidden="1">
      <c r="C43" s="1004" t="s">
        <v>198</v>
      </c>
      <c r="E43" s="1004"/>
      <c r="F43" s="1004"/>
      <c r="G43" s="1026" t="s">
        <v>190</v>
      </c>
      <c r="H43" s="1000">
        <f>ค่าดำเนินการ!H16</f>
        <v>8.06</v>
      </c>
      <c r="I43" s="1004" t="s">
        <v>183</v>
      </c>
      <c r="J43" s="1004" t="s">
        <v>199</v>
      </c>
      <c r="K43" s="1004"/>
      <c r="L43" s="1004"/>
      <c r="M43" s="1004"/>
      <c r="N43" s="1004"/>
    </row>
    <row r="44" spans="2:17" hidden="1">
      <c r="C44" s="1004" t="s">
        <v>620</v>
      </c>
      <c r="D44" s="745"/>
      <c r="E44" s="1004" t="s">
        <v>181</v>
      </c>
      <c r="F44" s="1004"/>
      <c r="G44" s="1026" t="s">
        <v>190</v>
      </c>
      <c r="H44" s="1000">
        <v>0</v>
      </c>
      <c r="I44" s="1004" t="s">
        <v>183</v>
      </c>
      <c r="J44" s="1004" t="s">
        <v>200</v>
      </c>
      <c r="K44" s="1004"/>
      <c r="L44" s="1004"/>
      <c r="M44" s="1004"/>
      <c r="N44" s="1004"/>
    </row>
    <row r="45" spans="2:17" hidden="1">
      <c r="C45" s="843" t="s">
        <v>201</v>
      </c>
      <c r="E45" s="1004"/>
      <c r="F45" s="1004"/>
      <c r="G45" s="1026"/>
      <c r="I45" s="1004"/>
      <c r="J45" s="1004"/>
      <c r="K45" s="1004"/>
      <c r="L45" s="1004"/>
      <c r="M45" s="1004"/>
      <c r="N45" s="1004"/>
    </row>
    <row r="46" spans="2:17" hidden="1">
      <c r="C46" s="1004" t="s">
        <v>26</v>
      </c>
      <c r="E46" s="1004"/>
      <c r="F46" s="1004"/>
      <c r="G46" s="1026" t="s">
        <v>190</v>
      </c>
      <c r="H46" s="1000">
        <f>SUM(H43:H44)</f>
        <v>8.06</v>
      </c>
      <c r="I46" s="1004" t="s">
        <v>183</v>
      </c>
      <c r="J46" s="1004" t="s">
        <v>202</v>
      </c>
      <c r="K46" s="1004"/>
      <c r="L46" s="1004"/>
      <c r="M46" s="1004"/>
      <c r="N46" s="1004"/>
    </row>
    <row r="47" spans="2:17" hidden="1">
      <c r="C47" s="1004" t="s">
        <v>492</v>
      </c>
      <c r="D47" s="745">
        <f>H46</f>
        <v>8.06</v>
      </c>
      <c r="E47" s="1026" t="s">
        <v>203</v>
      </c>
      <c r="F47" s="1026">
        <v>1.25</v>
      </c>
      <c r="G47" s="1026" t="s">
        <v>190</v>
      </c>
      <c r="H47" s="1000">
        <f>ROUND(D47*F47,2)</f>
        <v>10.08</v>
      </c>
      <c r="I47" s="1004" t="s">
        <v>183</v>
      </c>
      <c r="J47" s="1004" t="s">
        <v>204</v>
      </c>
      <c r="K47" s="1004"/>
      <c r="L47" s="1004"/>
      <c r="M47" s="1004"/>
      <c r="N47" s="1004"/>
    </row>
    <row r="48" spans="2:17" hidden="1">
      <c r="C48" s="1004" t="s">
        <v>205</v>
      </c>
      <c r="E48" s="1004"/>
      <c r="F48" s="1004"/>
      <c r="G48" s="1026" t="s">
        <v>190</v>
      </c>
      <c r="H48" s="1000">
        <f>ค่าดำเนินการ!H15</f>
        <v>20.73</v>
      </c>
      <c r="I48" s="1004" t="s">
        <v>183</v>
      </c>
      <c r="J48" s="1004" t="s">
        <v>206</v>
      </c>
      <c r="K48" s="1004"/>
      <c r="L48" s="1004"/>
      <c r="M48" s="1004"/>
      <c r="N48" s="1004"/>
    </row>
    <row r="49" spans="2:14" ht="22.5" hidden="1" thickBot="1">
      <c r="C49" s="1004" t="s">
        <v>195</v>
      </c>
      <c r="E49" s="1004"/>
      <c r="F49" s="1004"/>
      <c r="G49" s="1026" t="s">
        <v>190</v>
      </c>
      <c r="H49" s="1017">
        <f>SUM(H47:H48)</f>
        <v>30.810000000000002</v>
      </c>
      <c r="I49" s="1004" t="s">
        <v>183</v>
      </c>
      <c r="J49" s="1004" t="s">
        <v>207</v>
      </c>
      <c r="K49" s="1004"/>
      <c r="L49" s="1004"/>
      <c r="M49" s="1004"/>
      <c r="N49" s="1004"/>
    </row>
    <row r="50" spans="2:14" ht="22.5" hidden="1" thickTop="1">
      <c r="C50" s="1004"/>
      <c r="E50" s="1004"/>
      <c r="F50" s="1004"/>
      <c r="G50" s="1026"/>
      <c r="H50" s="1000"/>
      <c r="I50" s="1004"/>
      <c r="J50" s="1004"/>
      <c r="K50" s="1004"/>
      <c r="L50" s="1004"/>
      <c r="M50" s="1004"/>
      <c r="N50" s="1004"/>
    </row>
    <row r="51" spans="2:14" hidden="1">
      <c r="C51" s="1002" t="s">
        <v>3</v>
      </c>
      <c r="E51" s="1004"/>
      <c r="F51" s="1004"/>
      <c r="G51" s="1026"/>
      <c r="H51" s="1004"/>
      <c r="I51" s="1004"/>
      <c r="J51" s="1004"/>
      <c r="K51" s="1004"/>
      <c r="L51" s="1004"/>
      <c r="M51" s="1004"/>
      <c r="N51" s="1004"/>
    </row>
    <row r="52" spans="2:14" hidden="1">
      <c r="C52" s="1004" t="s">
        <v>208</v>
      </c>
      <c r="E52" s="1004"/>
      <c r="F52" s="1004"/>
      <c r="G52" s="1026" t="s">
        <v>209</v>
      </c>
      <c r="H52" s="1026">
        <v>1.1499999999999999</v>
      </c>
      <c r="I52" s="1004"/>
      <c r="J52" s="1004"/>
      <c r="K52" s="1004"/>
      <c r="L52" s="1004"/>
      <c r="M52" s="1004"/>
      <c r="N52" s="1004"/>
    </row>
    <row r="53" spans="2:14" hidden="1">
      <c r="C53" s="1004" t="s">
        <v>210</v>
      </c>
      <c r="E53" s="1004"/>
      <c r="F53" s="1004"/>
      <c r="G53" s="1026" t="s">
        <v>209</v>
      </c>
      <c r="H53" s="1026">
        <v>1.25</v>
      </c>
      <c r="I53" s="1004"/>
      <c r="J53" s="1004"/>
      <c r="K53" s="1004"/>
      <c r="L53" s="1004"/>
      <c r="M53" s="1004"/>
      <c r="N53" s="1004"/>
    </row>
    <row r="54" spans="2:14" hidden="1">
      <c r="C54" s="1011"/>
      <c r="D54" s="977"/>
      <c r="E54" s="1011"/>
      <c r="F54" s="1011"/>
      <c r="G54" s="1011"/>
      <c r="H54" s="1016"/>
      <c r="I54" s="1011"/>
      <c r="J54" s="1011"/>
      <c r="K54" s="1011"/>
      <c r="L54" s="1016"/>
      <c r="M54" s="1011"/>
    </row>
    <row r="55" spans="2:14" hidden="1">
      <c r="B55" s="1010">
        <f>ปร.4_1!B17</f>
        <v>1.6</v>
      </c>
      <c r="C55" s="1023" t="str">
        <f>ปร.4_1!C17</f>
        <v>งานดินถม (วัสดุจากดินตัด)</v>
      </c>
      <c r="D55" s="977"/>
      <c r="E55" s="1011"/>
      <c r="F55" s="1011"/>
      <c r="G55" s="1011"/>
      <c r="H55" s="1016"/>
      <c r="I55" s="1011"/>
      <c r="J55" s="1011"/>
      <c r="K55" s="1011"/>
      <c r="L55" s="1016"/>
      <c r="M55" s="1011"/>
    </row>
    <row r="56" spans="2:14" hidden="1">
      <c r="C56" s="1027" t="s">
        <v>621</v>
      </c>
      <c r="D56" s="1027"/>
      <c r="E56" s="747"/>
      <c r="F56" s="1027"/>
      <c r="G56" s="738" t="s">
        <v>190</v>
      </c>
      <c r="H56" s="1028">
        <f>ค่าดำเนินการ!H13</f>
        <v>45.03</v>
      </c>
      <c r="I56" s="976" t="s">
        <v>183</v>
      </c>
      <c r="J56" s="1004" t="s">
        <v>199</v>
      </c>
      <c r="K56" s="976"/>
    </row>
    <row r="57" spans="2:14" ht="22.5" hidden="1" thickBot="1">
      <c r="C57" s="976" t="s">
        <v>195</v>
      </c>
      <c r="D57" s="1029"/>
      <c r="E57" s="1030"/>
      <c r="F57" s="742"/>
      <c r="G57" s="738" t="s">
        <v>190</v>
      </c>
      <c r="H57" s="1017">
        <f>H56</f>
        <v>45.03</v>
      </c>
      <c r="I57" s="976" t="s">
        <v>183</v>
      </c>
      <c r="J57" s="976" t="s">
        <v>622</v>
      </c>
      <c r="K57" s="976"/>
    </row>
    <row r="58" spans="2:14" ht="22.5" hidden="1" thickTop="1">
      <c r="C58" s="1011"/>
      <c r="D58" s="977"/>
      <c r="E58" s="1011"/>
      <c r="F58" s="1011"/>
      <c r="G58" s="1011"/>
      <c r="H58" s="1016"/>
      <c r="I58" s="1011"/>
      <c r="J58" s="1011"/>
      <c r="K58" s="1011"/>
      <c r="L58" s="1016"/>
      <c r="M58" s="1011"/>
    </row>
    <row r="59" spans="2:14" hidden="1">
      <c r="B59" s="1010">
        <f>ปร.4_1!B18</f>
        <v>1.7</v>
      </c>
      <c r="C59" s="1023" t="str">
        <f>ปร.4_1!C18</f>
        <v>งานดินถม (วัสดุจากแหล่งนอกโครงการ)</v>
      </c>
      <c r="D59" s="977"/>
      <c r="E59" s="1011"/>
      <c r="F59" s="1011"/>
      <c r="G59" s="1011"/>
      <c r="H59" s="1016"/>
      <c r="I59" s="1011"/>
      <c r="J59" s="1011"/>
      <c r="K59" s="1011"/>
      <c r="L59" s="1016"/>
      <c r="M59" s="1011"/>
    </row>
    <row r="60" spans="2:14" hidden="1">
      <c r="C60" s="976" t="s">
        <v>212</v>
      </c>
      <c r="E60" s="976"/>
      <c r="F60" s="976"/>
      <c r="G60" s="738" t="s">
        <v>190</v>
      </c>
      <c r="H60" s="1000">
        <f>ข้อมูลแหล่งราคาวัสดุ!D11</f>
        <v>50</v>
      </c>
      <c r="I60" s="976" t="s">
        <v>183</v>
      </c>
      <c r="J60" s="1004" t="s">
        <v>193</v>
      </c>
      <c r="K60" s="976"/>
    </row>
    <row r="61" spans="2:14" hidden="1">
      <c r="C61" s="976" t="s">
        <v>213</v>
      </c>
      <c r="E61" s="976"/>
      <c r="F61" s="976"/>
      <c r="G61" s="738" t="s">
        <v>190</v>
      </c>
      <c r="H61" s="1000">
        <f>ค่าดำเนินการ!H12</f>
        <v>20.92</v>
      </c>
      <c r="I61" s="976" t="s">
        <v>183</v>
      </c>
      <c r="J61" s="1004" t="s">
        <v>214</v>
      </c>
      <c r="K61" s="976"/>
    </row>
    <row r="62" spans="2:14" hidden="1">
      <c r="C62" s="976" t="s">
        <v>136</v>
      </c>
      <c r="D62" s="745">
        <f>ข้อมูลแหล่งราคาวัสดุ!E11</f>
        <v>21</v>
      </c>
      <c r="E62" s="976" t="s">
        <v>181</v>
      </c>
      <c r="F62" s="976"/>
      <c r="G62" s="738" t="s">
        <v>190</v>
      </c>
      <c r="H62" s="1000">
        <f>ข้อมูลแหล่งราคาวัสดุ!I11</f>
        <v>66.52</v>
      </c>
      <c r="I62" s="976" t="s">
        <v>183</v>
      </c>
      <c r="J62" s="1004" t="s">
        <v>215</v>
      </c>
      <c r="K62" s="976"/>
    </row>
    <row r="63" spans="2:14" hidden="1">
      <c r="C63" s="976" t="s">
        <v>26</v>
      </c>
      <c r="E63" s="976"/>
      <c r="F63" s="976"/>
      <c r="G63" s="738" t="s">
        <v>190</v>
      </c>
      <c r="H63" s="1000">
        <f>SUM(H60:H62)</f>
        <v>137.44</v>
      </c>
      <c r="I63" s="976" t="s">
        <v>183</v>
      </c>
      <c r="J63" s="976" t="s">
        <v>216</v>
      </c>
      <c r="K63" s="976"/>
    </row>
    <row r="64" spans="2:14" hidden="1">
      <c r="C64" s="976" t="s">
        <v>217</v>
      </c>
      <c r="D64" s="745">
        <f>H63</f>
        <v>137.44</v>
      </c>
      <c r="E64" s="738" t="s">
        <v>203</v>
      </c>
      <c r="F64" s="738">
        <v>1.6</v>
      </c>
      <c r="G64" s="738" t="s">
        <v>190</v>
      </c>
      <c r="H64" s="1000">
        <f>ROUND(D64*F64,2)</f>
        <v>219.9</v>
      </c>
      <c r="I64" s="976" t="s">
        <v>183</v>
      </c>
      <c r="J64" s="976" t="s">
        <v>218</v>
      </c>
      <c r="K64" s="976"/>
    </row>
    <row r="65" spans="1:19" hidden="1">
      <c r="C65" s="976" t="s">
        <v>219</v>
      </c>
      <c r="E65" s="976"/>
      <c r="F65" s="976"/>
      <c r="G65" s="738" t="s">
        <v>190</v>
      </c>
      <c r="H65" s="1000">
        <f>ค่าดำเนินการ!H13</f>
        <v>45.03</v>
      </c>
      <c r="I65" s="976" t="s">
        <v>183</v>
      </c>
      <c r="J65" s="1004" t="s">
        <v>220</v>
      </c>
      <c r="K65" s="976"/>
    </row>
    <row r="66" spans="1:19" ht="22.5" hidden="1" thickBot="1">
      <c r="C66" s="976" t="s">
        <v>195</v>
      </c>
      <c r="E66" s="976"/>
      <c r="F66" s="976"/>
      <c r="G66" s="738" t="s">
        <v>190</v>
      </c>
      <c r="H66" s="1017">
        <f>SUM(H64:H65)</f>
        <v>264.93</v>
      </c>
      <c r="I66" s="976" t="s">
        <v>183</v>
      </c>
      <c r="J66" s="976" t="s">
        <v>221</v>
      </c>
      <c r="K66" s="976"/>
    </row>
    <row r="67" spans="1:19" ht="22.5" hidden="1" thickTop="1">
      <c r="C67" s="1011"/>
      <c r="D67" s="977"/>
      <c r="E67" s="1011"/>
      <c r="F67" s="1011"/>
      <c r="G67" s="1011"/>
      <c r="H67" s="1016"/>
      <c r="I67" s="1011"/>
      <c r="J67" s="1011"/>
      <c r="K67" s="1011"/>
      <c r="L67" s="1016"/>
      <c r="M67" s="1011"/>
    </row>
    <row r="68" spans="1:19" s="1032" customFormat="1" hidden="1">
      <c r="A68" s="976"/>
      <c r="B68" s="1003">
        <f>ปร.4_1!B19</f>
        <v>1.8</v>
      </c>
      <c r="C68" s="1031" t="str">
        <f>ปร.4_1!C19</f>
        <v>งานทรายถม</v>
      </c>
      <c r="D68" s="978"/>
      <c r="E68" s="1015"/>
      <c r="F68" s="1015"/>
      <c r="G68" s="1015"/>
      <c r="H68" s="1000"/>
      <c r="I68" s="1015"/>
      <c r="J68" s="1015"/>
      <c r="K68" s="1015"/>
      <c r="L68" s="1000"/>
      <c r="M68" s="1015"/>
      <c r="N68" s="976"/>
      <c r="P68" s="1033"/>
      <c r="S68" s="1033"/>
    </row>
    <row r="69" spans="1:19" s="1032" customFormat="1" hidden="1">
      <c r="A69" s="976"/>
      <c r="B69" s="1003"/>
      <c r="C69" s="976" t="s">
        <v>212</v>
      </c>
      <c r="D69" s="978"/>
      <c r="E69" s="976"/>
      <c r="F69" s="976"/>
      <c r="G69" s="738" t="s">
        <v>190</v>
      </c>
      <c r="H69" s="1000">
        <f>ข้อมูลแหล่งราคาวัสดุ!D12</f>
        <v>150</v>
      </c>
      <c r="I69" s="976" t="s">
        <v>183</v>
      </c>
      <c r="J69" s="1004" t="s">
        <v>193</v>
      </c>
      <c r="K69" s="976"/>
      <c r="L69" s="976"/>
      <c r="M69" s="976"/>
      <c r="N69" s="976"/>
      <c r="P69" s="1033"/>
      <c r="S69" s="1033"/>
    </row>
    <row r="70" spans="1:19" s="1032" customFormat="1" hidden="1">
      <c r="A70" s="976"/>
      <c r="B70" s="1003"/>
      <c r="C70" s="976" t="s">
        <v>136</v>
      </c>
      <c r="D70" s="745">
        <f>ข้อมูลแหล่งราคาวัสดุ!E12</f>
        <v>38</v>
      </c>
      <c r="E70" s="976" t="s">
        <v>181</v>
      </c>
      <c r="F70" s="976"/>
      <c r="G70" s="738" t="s">
        <v>190</v>
      </c>
      <c r="H70" s="1000">
        <f>ข้อมูลแหล่งราคาวัสดุ!I12</f>
        <v>118.96</v>
      </c>
      <c r="I70" s="976" t="s">
        <v>183</v>
      </c>
      <c r="J70" s="1004" t="s">
        <v>215</v>
      </c>
      <c r="K70" s="976"/>
      <c r="L70" s="976"/>
      <c r="M70" s="976"/>
      <c r="N70" s="976"/>
      <c r="P70" s="1033"/>
      <c r="S70" s="1033"/>
    </row>
    <row r="71" spans="1:19" s="1032" customFormat="1" hidden="1">
      <c r="A71" s="976"/>
      <c r="B71" s="1003"/>
      <c r="C71" s="976" t="s">
        <v>26</v>
      </c>
      <c r="D71" s="978"/>
      <c r="E71" s="976"/>
      <c r="F71" s="976"/>
      <c r="G71" s="738" t="s">
        <v>190</v>
      </c>
      <c r="H71" s="1000">
        <f>H69+H70</f>
        <v>268.95999999999998</v>
      </c>
      <c r="I71" s="976" t="s">
        <v>183</v>
      </c>
      <c r="J71" s="976" t="s">
        <v>216</v>
      </c>
      <c r="K71" s="976"/>
      <c r="L71" s="976"/>
      <c r="M71" s="976"/>
      <c r="N71" s="976"/>
      <c r="P71" s="1033"/>
      <c r="S71" s="1033"/>
    </row>
    <row r="72" spans="1:19" s="1032" customFormat="1" hidden="1">
      <c r="A72" s="976"/>
      <c r="B72" s="1003"/>
      <c r="C72" s="976" t="s">
        <v>217</v>
      </c>
      <c r="D72" s="745">
        <f>H71</f>
        <v>268.95999999999998</v>
      </c>
      <c r="E72" s="738" t="s">
        <v>203</v>
      </c>
      <c r="F72" s="738">
        <v>1.4</v>
      </c>
      <c r="G72" s="738" t="s">
        <v>190</v>
      </c>
      <c r="H72" s="1000">
        <f>ROUND(D72*F72,2)</f>
        <v>376.54</v>
      </c>
      <c r="I72" s="976" t="s">
        <v>183</v>
      </c>
      <c r="J72" s="976" t="s">
        <v>223</v>
      </c>
      <c r="K72" s="976"/>
      <c r="L72" s="976"/>
      <c r="M72" s="976"/>
      <c r="N72" s="976"/>
      <c r="P72" s="1033"/>
      <c r="S72" s="1033"/>
    </row>
    <row r="73" spans="1:19" s="1032" customFormat="1" hidden="1">
      <c r="A73" s="976"/>
      <c r="B73" s="1003"/>
      <c r="C73" s="976" t="s">
        <v>219</v>
      </c>
      <c r="D73" s="978"/>
      <c r="E73" s="976"/>
      <c r="F73" s="976"/>
      <c r="G73" s="738" t="s">
        <v>190</v>
      </c>
      <c r="H73" s="1000">
        <f>ค่าดำเนินการ!H13</f>
        <v>45.03</v>
      </c>
      <c r="I73" s="976" t="s">
        <v>183</v>
      </c>
      <c r="J73" s="1004" t="s">
        <v>220</v>
      </c>
      <c r="K73" s="976"/>
      <c r="L73" s="976"/>
      <c r="M73" s="976"/>
      <c r="N73" s="976"/>
      <c r="P73" s="1033"/>
      <c r="S73" s="1033"/>
    </row>
    <row r="74" spans="1:19" s="1032" customFormat="1" ht="22.5" hidden="1" thickBot="1">
      <c r="A74" s="976"/>
      <c r="B74" s="1003"/>
      <c r="C74" s="976" t="s">
        <v>195</v>
      </c>
      <c r="D74" s="978"/>
      <c r="E74" s="976"/>
      <c r="F74" s="976"/>
      <c r="G74" s="738" t="s">
        <v>190</v>
      </c>
      <c r="H74" s="1017">
        <f>SUM(H72:H73)</f>
        <v>421.57000000000005</v>
      </c>
      <c r="I74" s="976" t="s">
        <v>183</v>
      </c>
      <c r="J74" s="976" t="s">
        <v>221</v>
      </c>
      <c r="K74" s="976"/>
      <c r="L74" s="976"/>
      <c r="M74" s="976"/>
      <c r="N74" s="976"/>
      <c r="P74" s="1033"/>
      <c r="S74" s="1033"/>
    </row>
    <row r="75" spans="1:19" s="1032" customFormat="1" ht="22.5" hidden="1" thickTop="1">
      <c r="A75" s="976"/>
      <c r="B75" s="1003"/>
      <c r="C75" s="976"/>
      <c r="D75" s="978"/>
      <c r="E75" s="976"/>
      <c r="F75" s="976"/>
      <c r="G75" s="738"/>
      <c r="H75" s="976"/>
      <c r="I75" s="976"/>
      <c r="J75" s="976"/>
      <c r="K75" s="976"/>
      <c r="L75" s="976"/>
      <c r="M75" s="976"/>
      <c r="N75" s="976"/>
      <c r="P75" s="1033"/>
      <c r="S75" s="1033"/>
    </row>
    <row r="76" spans="1:19" s="1032" customFormat="1" hidden="1">
      <c r="A76" s="976"/>
      <c r="B76" s="1003"/>
      <c r="C76" s="976" t="s">
        <v>3</v>
      </c>
      <c r="D76" s="978"/>
      <c r="E76" s="976"/>
      <c r="F76" s="976"/>
      <c r="G76" s="738" t="s">
        <v>224</v>
      </c>
      <c r="H76" s="976"/>
      <c r="I76" s="976"/>
      <c r="J76" s="738" t="s">
        <v>225</v>
      </c>
      <c r="K76" s="976"/>
      <c r="L76" s="976"/>
      <c r="M76" s="976"/>
      <c r="N76" s="976"/>
      <c r="P76" s="1033"/>
      <c r="S76" s="1033"/>
    </row>
    <row r="77" spans="1:19" s="1032" customFormat="1" hidden="1">
      <c r="A77" s="976"/>
      <c r="B77" s="1003"/>
      <c r="C77" s="1034" t="s">
        <v>226</v>
      </c>
      <c r="D77" s="978"/>
      <c r="E77" s="976"/>
      <c r="F77" s="976"/>
      <c r="G77" s="1001">
        <v>1.4</v>
      </c>
      <c r="H77" s="976"/>
      <c r="I77" s="1034"/>
      <c r="J77" s="738">
        <v>1.45</v>
      </c>
      <c r="K77" s="976"/>
      <c r="L77" s="976"/>
      <c r="M77" s="976"/>
      <c r="N77" s="976"/>
      <c r="P77" s="1033"/>
      <c r="S77" s="1033"/>
    </row>
    <row r="78" spans="1:19" s="1032" customFormat="1" hidden="1">
      <c r="A78" s="976"/>
      <c r="B78" s="1003"/>
      <c r="C78" s="1035" t="s">
        <v>227</v>
      </c>
      <c r="D78" s="978"/>
      <c r="E78" s="976"/>
      <c r="F78" s="976"/>
      <c r="G78" s="1001">
        <v>1.6</v>
      </c>
      <c r="H78" s="976"/>
      <c r="I78" s="1035"/>
      <c r="J78" s="738">
        <v>1.7</v>
      </c>
      <c r="K78" s="976"/>
      <c r="L78" s="976"/>
      <c r="M78" s="976"/>
      <c r="N78" s="976"/>
      <c r="P78" s="1033"/>
      <c r="S78" s="1033"/>
    </row>
    <row r="79" spans="1:19" s="1032" customFormat="1" hidden="1">
      <c r="A79" s="976"/>
      <c r="B79" s="1003"/>
      <c r="C79" s="1035" t="s">
        <v>228</v>
      </c>
      <c r="D79" s="978"/>
      <c r="E79" s="976"/>
      <c r="F79" s="976"/>
      <c r="G79" s="1001">
        <v>1.85</v>
      </c>
      <c r="H79" s="976"/>
      <c r="I79" s="1035"/>
      <c r="J79" s="738">
        <v>1.9</v>
      </c>
      <c r="K79" s="976"/>
      <c r="L79" s="976"/>
      <c r="M79" s="976"/>
      <c r="N79" s="976"/>
      <c r="P79" s="1033"/>
      <c r="S79" s="1033"/>
    </row>
    <row r="80" spans="1:19" s="1032" customFormat="1" hidden="1">
      <c r="A80" s="976"/>
      <c r="B80" s="1003"/>
      <c r="C80" s="976" t="s">
        <v>229</v>
      </c>
      <c r="D80" s="978"/>
      <c r="E80" s="976"/>
      <c r="F80" s="976"/>
      <c r="G80" s="738"/>
      <c r="H80" s="976"/>
      <c r="I80" s="976"/>
      <c r="J80" s="976"/>
      <c r="K80" s="976"/>
      <c r="L80" s="976"/>
      <c r="M80" s="976"/>
      <c r="N80" s="976"/>
      <c r="P80" s="1033"/>
      <c r="S80" s="1033"/>
    </row>
    <row r="81" spans="1:19" s="1032" customFormat="1" hidden="1">
      <c r="A81" s="976"/>
      <c r="B81" s="1003"/>
      <c r="C81" s="976" t="s">
        <v>230</v>
      </c>
      <c r="D81" s="978"/>
      <c r="E81" s="976"/>
      <c r="F81" s="976"/>
      <c r="G81" s="738"/>
      <c r="H81" s="976"/>
      <c r="I81" s="976"/>
      <c r="J81" s="976"/>
      <c r="K81" s="976"/>
      <c r="L81" s="976"/>
      <c r="M81" s="976"/>
      <c r="N81" s="976"/>
      <c r="P81" s="1033"/>
      <c r="S81" s="1033"/>
    </row>
    <row r="82" spans="1:19" s="1032" customFormat="1" hidden="1">
      <c r="A82" s="976"/>
      <c r="B82" s="1003"/>
      <c r="C82" s="976"/>
      <c r="D82" s="978" t="s">
        <v>231</v>
      </c>
      <c r="E82" s="976"/>
      <c r="F82" s="976"/>
      <c r="G82" s="738"/>
      <c r="H82" s="976"/>
      <c r="I82" s="976"/>
      <c r="J82" s="976"/>
      <c r="K82" s="976"/>
      <c r="L82" s="976"/>
      <c r="M82" s="976"/>
      <c r="N82" s="976"/>
      <c r="P82" s="1033"/>
      <c r="S82" s="1033"/>
    </row>
    <row r="83" spans="1:19" s="1032" customFormat="1" hidden="1">
      <c r="A83" s="976"/>
      <c r="B83" s="1003"/>
      <c r="C83" s="976"/>
      <c r="D83" s="978"/>
      <c r="E83" s="976"/>
      <c r="F83" s="976"/>
      <c r="G83" s="738"/>
      <c r="H83" s="976"/>
      <c r="I83" s="976"/>
      <c r="J83" s="976"/>
      <c r="K83" s="976"/>
      <c r="L83" s="976"/>
      <c r="M83" s="976"/>
      <c r="N83" s="976"/>
      <c r="P83" s="1033"/>
      <c r="S83" s="1033"/>
    </row>
    <row r="84" spans="1:19" hidden="1">
      <c r="B84" s="1010">
        <f>ปร.4_1!B20</f>
        <v>1.9</v>
      </c>
      <c r="C84" s="1002" t="str">
        <f>ปร.4_1!C20</f>
        <v>งานวัสดุคัดเลือกบดอัดแน่น</v>
      </c>
      <c r="E84" s="976"/>
      <c r="F84" s="976"/>
      <c r="G84" s="738"/>
      <c r="H84" s="976"/>
      <c r="I84" s="976"/>
      <c r="J84" s="976"/>
      <c r="K84" s="976"/>
    </row>
    <row r="85" spans="1:19" hidden="1">
      <c r="B85" s="976"/>
      <c r="C85" s="976" t="s">
        <v>212</v>
      </c>
      <c r="E85" s="976"/>
      <c r="F85" s="976"/>
      <c r="G85" s="738" t="s">
        <v>190</v>
      </c>
      <c r="H85" s="997" t="e">
        <f>ข้อมูลแหล่งราคาวัสดุ!#REF!</f>
        <v>#REF!</v>
      </c>
      <c r="I85" s="976" t="s">
        <v>183</v>
      </c>
      <c r="J85" s="976" t="s">
        <v>193</v>
      </c>
      <c r="K85" s="976"/>
    </row>
    <row r="86" spans="1:19" hidden="1">
      <c r="B86" s="976"/>
      <c r="C86" s="976" t="s">
        <v>213</v>
      </c>
      <c r="E86" s="976"/>
      <c r="F86" s="976"/>
      <c r="G86" s="738" t="s">
        <v>190</v>
      </c>
      <c r="H86" s="997">
        <f>ค่าดำเนินการ!H22</f>
        <v>31.27</v>
      </c>
      <c r="I86" s="976" t="s">
        <v>183</v>
      </c>
      <c r="J86" s="976" t="s">
        <v>234</v>
      </c>
      <c r="K86" s="976" t="s">
        <v>192</v>
      </c>
    </row>
    <row r="87" spans="1:19" hidden="1">
      <c r="B87" s="976"/>
      <c r="C87" s="976" t="s">
        <v>728</v>
      </c>
      <c r="D87" s="745" t="e">
        <f>ข้อมูลแหล่งราคาวัสดุ!#REF!</f>
        <v>#REF!</v>
      </c>
      <c r="E87" s="976" t="s">
        <v>181</v>
      </c>
      <c r="F87" s="976"/>
      <c r="G87" s="738" t="s">
        <v>190</v>
      </c>
      <c r="H87" s="997" t="e">
        <f>ข้อมูลแหล่งราคาวัสดุ!#REF!</f>
        <v>#REF!</v>
      </c>
      <c r="I87" s="976" t="s">
        <v>183</v>
      </c>
      <c r="J87" s="976" t="s">
        <v>239</v>
      </c>
      <c r="K87" s="976" t="s">
        <v>235</v>
      </c>
    </row>
    <row r="88" spans="1:19" hidden="1">
      <c r="B88" s="976"/>
      <c r="C88" s="976" t="s">
        <v>26</v>
      </c>
      <c r="E88" s="976"/>
      <c r="F88" s="976"/>
      <c r="G88" s="738" t="s">
        <v>190</v>
      </c>
      <c r="H88" s="997" t="e">
        <f>SUM(H85:H87)</f>
        <v>#REF!</v>
      </c>
      <c r="I88" s="976" t="s">
        <v>183</v>
      </c>
      <c r="J88" s="976" t="s">
        <v>216</v>
      </c>
      <c r="K88" s="976"/>
    </row>
    <row r="89" spans="1:19" hidden="1">
      <c r="B89" s="976"/>
      <c r="C89" s="976" t="s">
        <v>727</v>
      </c>
      <c r="D89" s="745" t="e">
        <f>H88</f>
        <v>#REF!</v>
      </c>
      <c r="E89" s="745" t="s">
        <v>203</v>
      </c>
      <c r="F89" s="745">
        <v>1.6</v>
      </c>
      <c r="G89" s="738" t="s">
        <v>190</v>
      </c>
      <c r="H89" s="1000" t="e">
        <f>ROUND(D89*F89,2)</f>
        <v>#REF!</v>
      </c>
      <c r="I89" s="976" t="s">
        <v>183</v>
      </c>
      <c r="J89" s="976" t="s">
        <v>218</v>
      </c>
      <c r="K89" s="976"/>
    </row>
    <row r="90" spans="1:19" hidden="1">
      <c r="B90" s="976"/>
      <c r="C90" s="976" t="s">
        <v>219</v>
      </c>
      <c r="E90" s="976"/>
      <c r="F90" s="976"/>
      <c r="G90" s="738" t="s">
        <v>190</v>
      </c>
      <c r="H90" s="997">
        <f>ค่าดำเนินการ!H24</f>
        <v>54.04</v>
      </c>
      <c r="I90" s="976" t="s">
        <v>183</v>
      </c>
      <c r="J90" s="976" t="s">
        <v>249</v>
      </c>
      <c r="K90" s="976" t="s">
        <v>192</v>
      </c>
    </row>
    <row r="91" spans="1:19" ht="22.5" hidden="1" thickBot="1">
      <c r="B91" s="976"/>
      <c r="C91" s="976" t="s">
        <v>195</v>
      </c>
      <c r="E91" s="976"/>
      <c r="F91" s="976"/>
      <c r="G91" s="738" t="s">
        <v>190</v>
      </c>
      <c r="H91" s="1017" t="e">
        <f>SUM(H89:H90)</f>
        <v>#REF!</v>
      </c>
      <c r="I91" s="976" t="s">
        <v>183</v>
      </c>
      <c r="J91" s="976" t="s">
        <v>221</v>
      </c>
      <c r="K91" s="976"/>
    </row>
    <row r="92" spans="1:19" ht="22.5" hidden="1" thickTop="1">
      <c r="B92" s="1003"/>
      <c r="C92" s="1023"/>
      <c r="D92" s="977"/>
      <c r="E92" s="1011"/>
      <c r="F92" s="1011"/>
      <c r="G92" s="1011"/>
      <c r="H92" s="1016"/>
      <c r="I92" s="1011"/>
      <c r="J92" s="1011"/>
      <c r="K92" s="1011"/>
      <c r="L92" s="1016"/>
      <c r="M92" s="1011"/>
    </row>
    <row r="93" spans="1:19" hidden="1">
      <c r="B93" s="1036">
        <f>ปร.4_1!B21</f>
        <v>1.1000000000000001</v>
      </c>
      <c r="C93" s="1002" t="str">
        <f>ปร.4_1!C21&amp;" "&amp;FIXED(ปร.4_1!H21,2)&amp;" "&amp;ปร.4_1!I21</f>
        <v>งานรองพื้นทาง (ลูกรังบดอัดแน่น)                ( ลูกรังหนา 0.00 ซม. )</v>
      </c>
      <c r="D93" s="977"/>
      <c r="E93" s="1011"/>
      <c r="F93" s="1011"/>
      <c r="G93" s="1011"/>
      <c r="H93" s="1016"/>
      <c r="I93" s="1011"/>
      <c r="J93" s="1011"/>
      <c r="K93" s="1011"/>
      <c r="L93" s="1016"/>
      <c r="M93" s="1011"/>
    </row>
    <row r="94" spans="1:19" hidden="1">
      <c r="B94" s="1003"/>
      <c r="C94" s="976" t="s">
        <v>212</v>
      </c>
      <c r="E94" s="976"/>
      <c r="F94" s="1037"/>
      <c r="G94" s="738" t="s">
        <v>190</v>
      </c>
      <c r="H94" s="1000">
        <f>ข้อมูลแหล่งราคาวัสดุ!D15</f>
        <v>55</v>
      </c>
      <c r="I94" s="976" t="s">
        <v>183</v>
      </c>
      <c r="J94" s="1004" t="s">
        <v>193</v>
      </c>
      <c r="K94" s="976"/>
    </row>
    <row r="95" spans="1:19" hidden="1">
      <c r="B95" s="1003"/>
      <c r="C95" s="976" t="s">
        <v>213</v>
      </c>
      <c r="E95" s="976"/>
      <c r="F95" s="1037"/>
      <c r="G95" s="738" t="s">
        <v>190</v>
      </c>
      <c r="H95" s="1000">
        <f>ค่าดำเนินการ!H22</f>
        <v>31.27</v>
      </c>
      <c r="I95" s="976" t="s">
        <v>183</v>
      </c>
      <c r="J95" s="1004" t="s">
        <v>214</v>
      </c>
      <c r="K95" s="976"/>
    </row>
    <row r="96" spans="1:19" hidden="1">
      <c r="B96" s="1003"/>
      <c r="C96" s="976" t="s">
        <v>136</v>
      </c>
      <c r="D96" s="745">
        <f>ข้อมูลแหล่งราคาวัสดุ!E15</f>
        <v>23</v>
      </c>
      <c r="E96" s="976" t="s">
        <v>181</v>
      </c>
      <c r="F96" s="976"/>
      <c r="G96" s="738" t="s">
        <v>190</v>
      </c>
      <c r="H96" s="1000">
        <f>ข้อมูลแหล่งราคาวัสดุ!I15</f>
        <v>72.680000000000007</v>
      </c>
      <c r="I96" s="976" t="s">
        <v>183</v>
      </c>
      <c r="J96" s="1004" t="s">
        <v>215</v>
      </c>
      <c r="K96" s="976"/>
    </row>
    <row r="97" spans="2:13" hidden="1">
      <c r="B97" s="1003"/>
      <c r="C97" s="976" t="s">
        <v>26</v>
      </c>
      <c r="E97" s="976"/>
      <c r="F97" s="1037"/>
      <c r="G97" s="738" t="s">
        <v>190</v>
      </c>
      <c r="H97" s="1000">
        <f>SUM(H94:H96)</f>
        <v>158.94999999999999</v>
      </c>
      <c r="I97" s="976" t="s">
        <v>183</v>
      </c>
      <c r="J97" s="976" t="s">
        <v>216</v>
      </c>
      <c r="K97" s="976"/>
    </row>
    <row r="98" spans="2:13" hidden="1">
      <c r="B98" s="1003"/>
      <c r="C98" s="1004" t="s">
        <v>217</v>
      </c>
      <c r="D98" s="745">
        <f>H97</f>
        <v>158.94999999999999</v>
      </c>
      <c r="E98" s="1026" t="s">
        <v>203</v>
      </c>
      <c r="F98" s="1026">
        <v>1.6</v>
      </c>
      <c r="G98" s="738" t="s">
        <v>190</v>
      </c>
      <c r="H98" s="1000">
        <f>ROUND(D98*F98,2)</f>
        <v>254.32</v>
      </c>
      <c r="I98" s="976" t="s">
        <v>183</v>
      </c>
      <c r="J98" s="976" t="s">
        <v>218</v>
      </c>
      <c r="K98" s="976"/>
    </row>
    <row r="99" spans="2:13" hidden="1">
      <c r="B99" s="1003"/>
      <c r="C99" s="976" t="s">
        <v>219</v>
      </c>
      <c r="E99" s="976"/>
      <c r="F99" s="1037"/>
      <c r="G99" s="738" t="s">
        <v>190</v>
      </c>
      <c r="H99" s="1000">
        <f>ค่าดำเนินการ!H24</f>
        <v>54.04</v>
      </c>
      <c r="I99" s="976" t="s">
        <v>183</v>
      </c>
      <c r="J99" s="1004" t="s">
        <v>220</v>
      </c>
      <c r="K99" s="976"/>
    </row>
    <row r="100" spans="2:13" ht="22.5" hidden="1" thickBot="1">
      <c r="B100" s="1003"/>
      <c r="C100" s="976" t="s">
        <v>195</v>
      </c>
      <c r="E100" s="976"/>
      <c r="F100" s="1037"/>
      <c r="G100" s="738" t="s">
        <v>190</v>
      </c>
      <c r="H100" s="1017">
        <f>SUM(H98:H99)</f>
        <v>308.36</v>
      </c>
      <c r="I100" s="976" t="s">
        <v>183</v>
      </c>
      <c r="J100" s="976" t="s">
        <v>221</v>
      </c>
      <c r="K100" s="976"/>
    </row>
    <row r="101" spans="2:13">
      <c r="B101" s="1003"/>
      <c r="C101" s="1023"/>
      <c r="D101" s="977"/>
      <c r="E101" s="1011"/>
      <c r="F101" s="1011"/>
      <c r="G101" s="1011"/>
      <c r="H101" s="1016"/>
      <c r="I101" s="1011"/>
      <c r="J101" s="1011"/>
      <c r="K101" s="1011"/>
      <c r="L101" s="1016"/>
      <c r="M101" s="1011"/>
    </row>
    <row r="102" spans="2:13">
      <c r="B102" s="1483">
        <f>ปร.4_1!B22</f>
        <v>1.2</v>
      </c>
      <c r="C102" s="1002" t="str">
        <f>ปร.4_1!C22&amp;"   "&amp;ปร.4_1!G22&amp;" "&amp;FIXED(ปร.4_1!H22,2)&amp;" "&amp;ปร.4_1!I22</f>
        <v>หินคลุกบดอัดแน่นเสริมพื้นทาง  30%   ( หินคลุกหนา 15.00 ซม. )</v>
      </c>
      <c r="D102" s="977"/>
      <c r="E102" s="1011"/>
      <c r="F102" s="1011"/>
      <c r="G102" s="1011"/>
      <c r="H102" s="1016"/>
      <c r="I102" s="1011"/>
      <c r="J102" s="1011"/>
      <c r="K102" s="1011"/>
      <c r="L102" s="1016"/>
      <c r="M102" s="1011"/>
    </row>
    <row r="103" spans="2:13">
      <c r="B103" s="1003"/>
      <c r="C103" s="682" t="s">
        <v>729</v>
      </c>
      <c r="D103" s="1011"/>
      <c r="E103" s="1011"/>
      <c r="F103" s="1011"/>
      <c r="G103" s="1016" t="s">
        <v>190</v>
      </c>
      <c r="H103" s="1038">
        <f>ข้อมูลแหล่งราคาวัสดุ!D17</f>
        <v>240</v>
      </c>
      <c r="I103" s="1011" t="s">
        <v>183</v>
      </c>
      <c r="J103" s="1012" t="s">
        <v>193</v>
      </c>
      <c r="K103" s="807"/>
      <c r="L103" s="667"/>
    </row>
    <row r="104" spans="2:13">
      <c r="B104" s="1003"/>
      <c r="C104" s="684" t="s">
        <v>728</v>
      </c>
      <c r="D104" s="1039">
        <f>ข้อมูลแหล่งราคาวัสดุ!E17</f>
        <v>20</v>
      </c>
      <c r="E104" s="1012" t="s">
        <v>181</v>
      </c>
      <c r="F104" s="1012"/>
      <c r="G104" s="1016" t="s">
        <v>190</v>
      </c>
      <c r="H104" s="1038">
        <f>ข้อมูลแหล่งราคาวัสดุ!I17</f>
        <v>63.44</v>
      </c>
      <c r="I104" s="1011" t="s">
        <v>183</v>
      </c>
      <c r="J104" s="1012" t="s">
        <v>234</v>
      </c>
      <c r="K104" s="1012" t="s">
        <v>235</v>
      </c>
    </row>
    <row r="105" spans="2:13">
      <c r="B105" s="1003"/>
      <c r="C105" s="684" t="s">
        <v>26</v>
      </c>
      <c r="D105" s="1012"/>
      <c r="E105" s="1012"/>
      <c r="F105" s="1012"/>
      <c r="G105" s="1016" t="s">
        <v>190</v>
      </c>
      <c r="H105" s="1038">
        <f>SUM(H103:H104)</f>
        <v>303.44</v>
      </c>
      <c r="I105" s="1011" t="s">
        <v>183</v>
      </c>
      <c r="J105" s="1012" t="s">
        <v>202</v>
      </c>
      <c r="K105" s="667"/>
    </row>
    <row r="106" spans="2:13">
      <c r="B106" s="1003"/>
      <c r="C106" s="684" t="s">
        <v>217</v>
      </c>
      <c r="D106" s="1040">
        <f>H105</f>
        <v>303.44</v>
      </c>
      <c r="E106" s="1016" t="s">
        <v>203</v>
      </c>
      <c r="F106" s="687">
        <v>1.5</v>
      </c>
      <c r="G106" s="1016" t="s">
        <v>190</v>
      </c>
      <c r="H106" s="1038">
        <f>ROUND(H105*F106,2)</f>
        <v>455.16</v>
      </c>
      <c r="I106" s="1011" t="s">
        <v>183</v>
      </c>
      <c r="J106" s="1012" t="s">
        <v>730</v>
      </c>
      <c r="K106" s="667"/>
    </row>
    <row r="107" spans="2:13">
      <c r="B107" s="1003"/>
      <c r="C107" s="682" t="s">
        <v>731</v>
      </c>
      <c r="D107" s="1011"/>
      <c r="E107" s="1011"/>
      <c r="F107" s="1011"/>
      <c r="G107" s="1016" t="s">
        <v>190</v>
      </c>
      <c r="H107" s="1038">
        <f>ค่าดำเนินการ!H29</f>
        <v>24.62</v>
      </c>
      <c r="I107" s="1011" t="s">
        <v>183</v>
      </c>
      <c r="J107" s="1012" t="s">
        <v>236</v>
      </c>
      <c r="K107" s="1012" t="s">
        <v>192</v>
      </c>
    </row>
    <row r="108" spans="2:13">
      <c r="B108" s="1003"/>
      <c r="C108" s="682" t="s">
        <v>219</v>
      </c>
      <c r="D108" s="1011"/>
      <c r="E108" s="1011"/>
      <c r="F108" s="1011"/>
      <c r="G108" s="1016" t="s">
        <v>190</v>
      </c>
      <c r="H108" s="1038">
        <f>ค่าดำเนินการ!H30</f>
        <v>84.54</v>
      </c>
      <c r="I108" s="1011" t="s">
        <v>183</v>
      </c>
      <c r="J108" s="1012" t="s">
        <v>249</v>
      </c>
      <c r="K108" s="1012" t="s">
        <v>192</v>
      </c>
    </row>
    <row r="109" spans="2:13" ht="22.5" thickBot="1">
      <c r="B109" s="1003"/>
      <c r="C109" s="682" t="s">
        <v>195</v>
      </c>
      <c r="D109" s="1011"/>
      <c r="E109" s="1011"/>
      <c r="F109" s="1011"/>
      <c r="G109" s="1016" t="s">
        <v>190</v>
      </c>
      <c r="H109" s="1017">
        <f>SUM(H106:H108)</f>
        <v>564.32000000000005</v>
      </c>
      <c r="I109" s="1011" t="s">
        <v>183</v>
      </c>
      <c r="J109" s="1012" t="s">
        <v>732</v>
      </c>
      <c r="K109" s="807"/>
      <c r="L109" s="667"/>
    </row>
    <row r="110" spans="2:13" ht="22.5" thickTop="1">
      <c r="B110" s="1003"/>
      <c r="C110" s="1023"/>
      <c r="D110" s="977"/>
      <c r="E110" s="1011"/>
      <c r="F110" s="1011"/>
      <c r="G110" s="1011"/>
      <c r="H110" s="1016"/>
      <c r="I110" s="1011"/>
      <c r="J110" s="1011"/>
      <c r="K110" s="1011"/>
      <c r="L110" s="1016"/>
      <c r="M110" s="1011"/>
    </row>
    <row r="111" spans="2:13" hidden="1">
      <c r="B111" s="1003">
        <f>ปร.4_1!B23</f>
        <v>1.1200000000000001</v>
      </c>
      <c r="C111" s="1002" t="str">
        <f>ปร.4_1!C23</f>
        <v>หินคลุกปรับระดับ (หลวม)</v>
      </c>
      <c r="D111" s="977"/>
      <c r="E111" s="1011"/>
      <c r="F111" s="1011"/>
      <c r="G111" s="1011"/>
      <c r="H111" s="1016"/>
      <c r="I111" s="1011"/>
      <c r="J111" s="1011"/>
      <c r="K111" s="1011"/>
      <c r="L111" s="1016"/>
      <c r="M111" s="1011"/>
    </row>
    <row r="112" spans="2:13" hidden="1">
      <c r="B112" s="1003"/>
      <c r="C112" s="682" t="s">
        <v>729</v>
      </c>
      <c r="D112" s="1011"/>
      <c r="E112" s="1011"/>
      <c r="F112" s="1011"/>
      <c r="G112" s="1016" t="s">
        <v>190</v>
      </c>
      <c r="H112" s="1038">
        <f>ข้อมูลแหล่งราคาวัสดุ!D17</f>
        <v>240</v>
      </c>
      <c r="I112" s="1011" t="s">
        <v>183</v>
      </c>
      <c r="J112" s="1012" t="s">
        <v>193</v>
      </c>
      <c r="K112" s="807"/>
      <c r="L112" s="667"/>
    </row>
    <row r="113" spans="2:13" hidden="1">
      <c r="B113" s="1003"/>
      <c r="C113" s="684" t="s">
        <v>728</v>
      </c>
      <c r="D113" s="1039">
        <f>ข้อมูลแหล่งราคาวัสดุ!E17</f>
        <v>20</v>
      </c>
      <c r="E113" s="1012" t="s">
        <v>181</v>
      </c>
      <c r="F113" s="1012"/>
      <c r="G113" s="1016" t="s">
        <v>190</v>
      </c>
      <c r="H113" s="1038">
        <f>ข้อมูลแหล่งราคาวัสดุ!I17</f>
        <v>63.44</v>
      </c>
      <c r="I113" s="1011" t="s">
        <v>183</v>
      </c>
      <c r="J113" s="1012" t="s">
        <v>234</v>
      </c>
      <c r="K113" s="1012" t="s">
        <v>235</v>
      </c>
    </row>
    <row r="114" spans="2:13" hidden="1">
      <c r="B114" s="1003"/>
      <c r="C114" s="682" t="s">
        <v>233</v>
      </c>
      <c r="D114" s="977"/>
      <c r="E114" s="1011"/>
      <c r="F114" s="1011"/>
      <c r="G114" s="1016" t="s">
        <v>190</v>
      </c>
      <c r="H114" s="1038">
        <f>SUM(H112:H113)</f>
        <v>303.44</v>
      </c>
      <c r="I114" s="1011" t="s">
        <v>183</v>
      </c>
      <c r="J114" s="1012" t="s">
        <v>202</v>
      </c>
      <c r="K114" s="1011"/>
      <c r="L114" s="1016"/>
      <c r="M114" s="1011"/>
    </row>
    <row r="115" spans="2:13" ht="22.5" hidden="1" thickBot="1">
      <c r="B115" s="1003"/>
      <c r="C115" s="682" t="s">
        <v>195</v>
      </c>
      <c r="D115" s="977"/>
      <c r="E115" s="1011"/>
      <c r="F115" s="1011"/>
      <c r="G115" s="1016" t="s">
        <v>190</v>
      </c>
      <c r="H115" s="1017">
        <f>H114</f>
        <v>303.44</v>
      </c>
      <c r="I115" s="1011" t="s">
        <v>183</v>
      </c>
      <c r="J115" s="1012" t="s">
        <v>276</v>
      </c>
      <c r="K115" s="1011"/>
      <c r="L115" s="1016"/>
      <c r="M115" s="1011"/>
    </row>
    <row r="116" spans="2:13" ht="22.5" hidden="1" thickTop="1">
      <c r="B116" s="1003"/>
      <c r="C116" s="1023"/>
      <c r="D116" s="977"/>
      <c r="E116" s="1011"/>
      <c r="F116" s="1011"/>
      <c r="G116" s="1011"/>
      <c r="H116" s="1016"/>
      <c r="I116" s="1011"/>
      <c r="J116" s="1011"/>
      <c r="K116" s="1011"/>
      <c r="L116" s="1016"/>
      <c r="M116" s="1011"/>
    </row>
    <row r="117" spans="2:13" hidden="1">
      <c r="B117" s="1003">
        <f>ปร.4_1!B24</f>
        <v>1.1299999999999999</v>
      </c>
      <c r="C117" s="1002" t="str">
        <f>ปร.4_1!C24&amp;" "&amp;FIXED(ปร.4_1!H24,2)&amp;" "&amp;ปร.4_1!I24</f>
        <v>งานทรายรองใต้ผิวจราจรคอนกรีต                                        หนา 0.00 ซม.</v>
      </c>
      <c r="D117" s="977"/>
      <c r="E117" s="1011"/>
      <c r="F117" s="1011"/>
      <c r="G117" s="1011"/>
      <c r="H117" s="1016"/>
      <c r="I117" s="1011"/>
      <c r="J117" s="1011"/>
      <c r="K117" s="1011"/>
      <c r="L117" s="1016"/>
      <c r="M117" s="1011"/>
    </row>
    <row r="118" spans="2:13" hidden="1">
      <c r="B118" s="1003"/>
      <c r="C118" s="684" t="s">
        <v>212</v>
      </c>
      <c r="D118" s="976"/>
      <c r="E118" s="976"/>
      <c r="F118" s="1037"/>
      <c r="G118" s="738" t="s">
        <v>190</v>
      </c>
      <c r="H118" s="1000">
        <f>(ข้อมูลแหล่งราคาวัสดุ!D12+ข้อมูลแหล่งราคาวัสดุ!D13)/2</f>
        <v>261.91499999999996</v>
      </c>
      <c r="I118" s="976" t="s">
        <v>183</v>
      </c>
      <c r="J118" s="684" t="s">
        <v>193</v>
      </c>
      <c r="K118" s="976"/>
    </row>
    <row r="119" spans="2:13" hidden="1">
      <c r="B119" s="1003"/>
      <c r="C119" s="976" t="s">
        <v>136</v>
      </c>
      <c r="D119" s="1041">
        <f>ข้อมูลแหล่งราคาวัสดุ!E13</f>
        <v>20</v>
      </c>
      <c r="E119" s="976" t="s">
        <v>181</v>
      </c>
      <c r="F119" s="1037"/>
      <c r="G119" s="738" t="s">
        <v>190</v>
      </c>
      <c r="H119" s="1000">
        <f>ข้อมูลแหล่งราคาวัสดุ!I13</f>
        <v>63.44</v>
      </c>
      <c r="I119" s="976" t="s">
        <v>183</v>
      </c>
      <c r="J119" s="684" t="s">
        <v>234</v>
      </c>
      <c r="K119" s="684" t="s">
        <v>235</v>
      </c>
    </row>
    <row r="120" spans="2:13" hidden="1">
      <c r="B120" s="1003"/>
      <c r="C120" s="684" t="s">
        <v>26</v>
      </c>
      <c r="D120" s="976"/>
      <c r="E120" s="976"/>
      <c r="F120" s="1037"/>
      <c r="G120" s="738" t="s">
        <v>190</v>
      </c>
      <c r="H120" s="1000">
        <f>SUM(H118:H119)</f>
        <v>325.35499999999996</v>
      </c>
      <c r="I120" s="976" t="s">
        <v>183</v>
      </c>
      <c r="J120" s="684" t="s">
        <v>202</v>
      </c>
      <c r="K120" s="684"/>
    </row>
    <row r="121" spans="2:13" hidden="1">
      <c r="B121" s="1003"/>
      <c r="C121" s="684" t="s">
        <v>217</v>
      </c>
      <c r="D121" s="745">
        <f>H120</f>
        <v>325.35499999999996</v>
      </c>
      <c r="E121" s="738" t="s">
        <v>203</v>
      </c>
      <c r="F121" s="1041">
        <v>1.4</v>
      </c>
      <c r="G121" s="738" t="s">
        <v>190</v>
      </c>
      <c r="H121" s="1000">
        <f>ROUND(D121*F121,2)</f>
        <v>455.5</v>
      </c>
      <c r="I121" s="976" t="s">
        <v>183</v>
      </c>
      <c r="J121" s="684" t="s">
        <v>623</v>
      </c>
      <c r="K121" s="684"/>
    </row>
    <row r="122" spans="2:13" hidden="1">
      <c r="B122" s="1003"/>
      <c r="C122" s="684" t="s">
        <v>624</v>
      </c>
      <c r="D122" s="976"/>
      <c r="E122" s="976"/>
      <c r="F122" s="1037"/>
      <c r="G122" s="738" t="s">
        <v>190</v>
      </c>
      <c r="H122" s="1000">
        <f>ค่าดำเนินการ!H30*0.75</f>
        <v>63.405000000000001</v>
      </c>
      <c r="I122" s="976" t="s">
        <v>183</v>
      </c>
      <c r="J122" s="684" t="s">
        <v>236</v>
      </c>
      <c r="K122" s="684" t="s">
        <v>192</v>
      </c>
    </row>
    <row r="123" spans="2:13" ht="22.5" hidden="1" thickBot="1">
      <c r="B123" s="1003"/>
      <c r="C123" s="684" t="s">
        <v>195</v>
      </c>
      <c r="D123" s="976"/>
      <c r="E123" s="976"/>
      <c r="F123" s="1037"/>
      <c r="G123" s="738" t="s">
        <v>190</v>
      </c>
      <c r="H123" s="1017">
        <f>SUM(H121:H122)</f>
        <v>518.90499999999997</v>
      </c>
      <c r="I123" s="976" t="s">
        <v>183</v>
      </c>
      <c r="J123" s="684" t="s">
        <v>207</v>
      </c>
      <c r="K123" s="976"/>
    </row>
    <row r="124" spans="2:13" ht="22.5" hidden="1" thickTop="1">
      <c r="B124" s="1003"/>
      <c r="C124" s="1002"/>
      <c r="D124" s="977"/>
      <c r="E124" s="1011"/>
      <c r="F124" s="1011"/>
      <c r="G124" s="1011"/>
      <c r="H124" s="1016"/>
      <c r="I124" s="1011"/>
      <c r="J124" s="1011"/>
      <c r="K124" s="1011"/>
      <c r="L124" s="1016"/>
      <c r="M124" s="1011"/>
    </row>
    <row r="125" spans="2:13" hidden="1">
      <c r="B125" s="1003">
        <f>ปร.4_1!B25</f>
        <v>1.1399999999999999</v>
      </c>
      <c r="C125" s="1002" t="str">
        <f>ปร.4_1!C25</f>
        <v xml:space="preserve">Skin   Patch </v>
      </c>
      <c r="D125" s="977"/>
      <c r="E125" s="1011"/>
      <c r="F125" s="1011"/>
      <c r="G125" s="1011"/>
      <c r="H125" s="1016"/>
      <c r="I125" s="1011"/>
      <c r="J125" s="1011"/>
      <c r="K125" s="1011"/>
      <c r="L125" s="1016"/>
      <c r="M125" s="1011"/>
    </row>
    <row r="126" spans="2:13" hidden="1">
      <c r="B126" s="1003"/>
      <c r="C126" s="1042" t="s">
        <v>802</v>
      </c>
      <c r="D126" s="1042"/>
      <c r="E126" s="1043"/>
      <c r="F126" s="1043"/>
      <c r="G126" s="1044"/>
      <c r="H126" s="1043"/>
      <c r="I126" s="1045" t="s">
        <v>190</v>
      </c>
      <c r="J126" s="1011">
        <f>H173</f>
        <v>29.45</v>
      </c>
      <c r="K126" s="1042" t="s">
        <v>763</v>
      </c>
      <c r="L126" s="684" t="s">
        <v>193</v>
      </c>
      <c r="M126" s="1011"/>
    </row>
    <row r="127" spans="2:13" hidden="1">
      <c r="B127" s="1003"/>
      <c r="C127" s="1042" t="s">
        <v>1538</v>
      </c>
      <c r="D127" s="1042" t="s">
        <v>493</v>
      </c>
      <c r="E127" s="1046">
        <v>3</v>
      </c>
      <c r="F127" s="1042" t="s">
        <v>1543</v>
      </c>
      <c r="G127" s="1045">
        <f>41.667/E127</f>
        <v>13.889000000000001</v>
      </c>
      <c r="H127" s="1042" t="s">
        <v>1539</v>
      </c>
      <c r="I127" s="1045" t="s">
        <v>190</v>
      </c>
      <c r="J127" s="1011">
        <f>J328/G127</f>
        <v>155.07220102239179</v>
      </c>
      <c r="K127" s="1042" t="s">
        <v>763</v>
      </c>
      <c r="L127" s="684" t="s">
        <v>234</v>
      </c>
      <c r="M127" s="1011"/>
    </row>
    <row r="128" spans="2:13" hidden="1">
      <c r="B128" s="1003"/>
      <c r="C128" s="1042" t="s">
        <v>1540</v>
      </c>
      <c r="D128" s="1042"/>
      <c r="E128" s="1043"/>
      <c r="F128" s="1043"/>
      <c r="G128" s="1044"/>
      <c r="H128" s="1043"/>
      <c r="I128" s="1045" t="s">
        <v>190</v>
      </c>
      <c r="J128" s="1011">
        <f>SUM(J126:J127)</f>
        <v>184.52220102239178</v>
      </c>
      <c r="K128" s="1042" t="s">
        <v>763</v>
      </c>
      <c r="L128" s="684" t="s">
        <v>202</v>
      </c>
    </row>
    <row r="129" spans="2:14" hidden="1">
      <c r="B129" s="1003"/>
      <c r="C129" s="1042" t="s">
        <v>1541</v>
      </c>
      <c r="D129" s="1042"/>
      <c r="E129" s="1043"/>
      <c r="F129" s="1043"/>
      <c r="G129" s="1044"/>
      <c r="H129" s="1043"/>
      <c r="I129" s="1045" t="s">
        <v>190</v>
      </c>
      <c r="J129" s="1011">
        <f>ค่าดำเนินการ!H36+ค่าดำเนินการ!H53</f>
        <v>20.82</v>
      </c>
      <c r="K129" s="1042" t="s">
        <v>763</v>
      </c>
      <c r="L129" s="684" t="s">
        <v>244</v>
      </c>
      <c r="M129" s="684" t="s">
        <v>192</v>
      </c>
    </row>
    <row r="130" spans="2:14" ht="22.5" hidden="1" thickBot="1">
      <c r="B130" s="1003"/>
      <c r="C130" s="1042" t="s">
        <v>1542</v>
      </c>
      <c r="D130" s="1042"/>
      <c r="E130" s="1043"/>
      <c r="F130" s="1043"/>
      <c r="G130" s="1044"/>
      <c r="H130" s="1043"/>
      <c r="I130" s="1045" t="s">
        <v>190</v>
      </c>
      <c r="J130" s="1017">
        <f>SUM(J128:J129)</f>
        <v>205.34220102239178</v>
      </c>
      <c r="K130" s="1042" t="s">
        <v>763</v>
      </c>
      <c r="L130" s="684" t="s">
        <v>1544</v>
      </c>
      <c r="M130" s="1011"/>
    </row>
    <row r="131" spans="2:14" ht="22.5" hidden="1" thickTop="1">
      <c r="B131" s="1003"/>
      <c r="C131" s="1002"/>
      <c r="D131" s="977"/>
      <c r="E131" s="1011"/>
      <c r="F131" s="1011"/>
      <c r="G131" s="1011"/>
      <c r="H131" s="1016"/>
      <c r="I131" s="1011"/>
      <c r="J131" s="1011"/>
      <c r="K131" s="1011"/>
      <c r="L131" s="1016"/>
      <c r="M131" s="1011"/>
    </row>
    <row r="132" spans="2:14" hidden="1">
      <c r="B132" s="1003">
        <f>ปร.4_1!B26</f>
        <v>1.1499999999999999</v>
      </c>
      <c r="C132" s="1031" t="str">
        <f>ปร.4_1!C26</f>
        <v>Deep  Patch</v>
      </c>
      <c r="D132" s="977"/>
      <c r="E132" s="1011"/>
      <c r="F132" s="1011"/>
      <c r="G132" s="1011"/>
      <c r="H132" s="1016"/>
      <c r="I132" s="1011"/>
      <c r="J132" s="1011"/>
      <c r="K132" s="1011"/>
      <c r="L132" s="1016"/>
      <c r="M132" s="1011"/>
    </row>
    <row r="133" spans="2:14" hidden="1">
      <c r="B133" s="1003"/>
      <c r="C133" s="1042" t="s">
        <v>733</v>
      </c>
      <c r="D133" s="976"/>
      <c r="E133" s="976"/>
      <c r="F133" s="1037"/>
      <c r="G133" s="738"/>
      <c r="H133" s="745"/>
      <c r="I133" s="976"/>
      <c r="J133" s="976"/>
      <c r="K133" s="976"/>
    </row>
    <row r="134" spans="2:14" hidden="1">
      <c r="B134" s="1003"/>
      <c r="C134" s="1042" t="s">
        <v>734</v>
      </c>
      <c r="D134" s="976"/>
      <c r="E134" s="976"/>
      <c r="F134" s="1037"/>
      <c r="G134" s="738"/>
      <c r="H134" s="745"/>
      <c r="I134" s="976"/>
      <c r="K134" s="738" t="s">
        <v>190</v>
      </c>
      <c r="M134" s="1047">
        <f>ค่าดำเนินการ!H35</f>
        <v>11.02</v>
      </c>
      <c r="N134" s="1011" t="s">
        <v>191</v>
      </c>
    </row>
    <row r="135" spans="2:14" hidden="1">
      <c r="B135" s="1003"/>
      <c r="C135" s="1042" t="s">
        <v>735</v>
      </c>
      <c r="D135" s="976"/>
      <c r="E135" s="976"/>
      <c r="F135" s="1037"/>
      <c r="G135" s="738"/>
      <c r="H135" s="745"/>
      <c r="I135" s="1048">
        <v>0.2</v>
      </c>
      <c r="J135" s="997" t="s">
        <v>744</v>
      </c>
      <c r="K135" s="738" t="s">
        <v>190</v>
      </c>
      <c r="M135" s="1047">
        <f>ค่าดำเนินการ!H34*2</f>
        <v>28.02</v>
      </c>
      <c r="N135" s="1011" t="s">
        <v>191</v>
      </c>
    </row>
    <row r="136" spans="2:14" hidden="1">
      <c r="B136" s="1003"/>
      <c r="C136" s="1042" t="s">
        <v>736</v>
      </c>
      <c r="D136" s="976"/>
      <c r="E136" s="976"/>
      <c r="F136" s="1037"/>
      <c r="G136" s="738"/>
      <c r="H136" s="745"/>
      <c r="I136" s="1048">
        <v>0.2</v>
      </c>
      <c r="J136" s="997" t="s">
        <v>744</v>
      </c>
      <c r="K136" s="738" t="s">
        <v>190</v>
      </c>
      <c r="M136" s="1047">
        <f>ค่าดำเนินการ!H33*2</f>
        <v>21.32</v>
      </c>
      <c r="N136" s="1011" t="s">
        <v>191</v>
      </c>
    </row>
    <row r="137" spans="2:14" hidden="1">
      <c r="B137" s="1003"/>
      <c r="C137" s="1049" t="s">
        <v>737</v>
      </c>
      <c r="D137" s="976"/>
      <c r="E137" s="976"/>
      <c r="F137" s="1037"/>
      <c r="G137" s="738"/>
      <c r="H137" s="745"/>
      <c r="I137" s="1048">
        <v>0.2</v>
      </c>
      <c r="J137" s="997" t="s">
        <v>744</v>
      </c>
      <c r="K137" s="738" t="s">
        <v>190</v>
      </c>
      <c r="M137" s="1050">
        <f>H106*I137</f>
        <v>91.032000000000011</v>
      </c>
      <c r="N137" s="1011" t="s">
        <v>191</v>
      </c>
    </row>
    <row r="138" spans="2:14" hidden="1">
      <c r="B138" s="1003"/>
      <c r="C138" s="1042" t="s">
        <v>738</v>
      </c>
      <c r="D138" s="976"/>
      <c r="E138" s="976"/>
      <c r="F138" s="1037"/>
      <c r="G138" s="738"/>
      <c r="H138" s="745"/>
      <c r="I138" s="1048">
        <v>0.2</v>
      </c>
      <c r="J138" s="997" t="s">
        <v>744</v>
      </c>
      <c r="K138" s="738" t="s">
        <v>190</v>
      </c>
      <c r="M138" s="1047">
        <f>ROUND((ค่าดำเนินการ!H29+ค่าดำเนินการ!H30)*I137,2)</f>
        <v>21.83</v>
      </c>
      <c r="N138" s="1011" t="s">
        <v>191</v>
      </c>
    </row>
    <row r="139" spans="2:14" hidden="1">
      <c r="B139" s="1003"/>
      <c r="C139" s="1042" t="s">
        <v>739</v>
      </c>
      <c r="D139" s="976"/>
      <c r="E139" s="976"/>
      <c r="F139" s="1037"/>
      <c r="G139" s="738"/>
      <c r="H139" s="745"/>
      <c r="I139" s="1048">
        <v>0.2</v>
      </c>
      <c r="J139" s="997" t="s">
        <v>744</v>
      </c>
      <c r="K139" s="738" t="s">
        <v>190</v>
      </c>
      <c r="M139" s="1047">
        <f>ROUND((ค่าดำเนินการ!H29+ค่าดำเนินการ!H30)*I138,2)</f>
        <v>21.83</v>
      </c>
      <c r="N139" s="1011" t="s">
        <v>191</v>
      </c>
    </row>
    <row r="140" spans="2:14" ht="22.5" hidden="1" thickBot="1">
      <c r="B140" s="1003"/>
      <c r="C140" s="1042" t="s">
        <v>740</v>
      </c>
      <c r="D140" s="976"/>
      <c r="E140" s="976"/>
      <c r="F140" s="1037"/>
      <c r="G140" s="738"/>
      <c r="H140" s="745"/>
      <c r="I140" s="976"/>
      <c r="K140" s="738" t="s">
        <v>190</v>
      </c>
      <c r="M140" s="1051">
        <f>SUM(M134:M139)</f>
        <v>195.05199999999996</v>
      </c>
      <c r="N140" s="1011" t="s">
        <v>191</v>
      </c>
    </row>
    <row r="141" spans="2:14" hidden="1">
      <c r="B141" s="1003"/>
      <c r="C141" s="1002"/>
      <c r="D141" s="977"/>
      <c r="E141" s="1011"/>
      <c r="F141" s="1011"/>
      <c r="G141" s="1011"/>
      <c r="H141" s="1016"/>
      <c r="I141" s="1011"/>
      <c r="J141" s="1011"/>
      <c r="K141" s="1011"/>
      <c r="L141" s="1016"/>
      <c r="M141" s="1011"/>
    </row>
    <row r="142" spans="2:14" hidden="1">
      <c r="B142" s="1003">
        <f>ปร.4_1!B27</f>
        <v>1.1599999999999999</v>
      </c>
      <c r="C142" s="1031" t="str">
        <f>ปร.4_1!C27</f>
        <v>งาน Pavement In-Place Recycling</v>
      </c>
      <c r="D142" s="977"/>
      <c r="E142" s="1011"/>
      <c r="F142" s="1011"/>
      <c r="G142" s="1011"/>
      <c r="H142" s="1016"/>
      <c r="I142" s="1011"/>
      <c r="J142" s="1011"/>
      <c r="K142" s="1011"/>
      <c r="L142" s="1016"/>
      <c r="M142" s="1011"/>
    </row>
    <row r="143" spans="2:14" hidden="1">
      <c r="B143" s="1003"/>
      <c r="C143" s="1052" t="s">
        <v>745</v>
      </c>
      <c r="D143" s="976"/>
      <c r="E143" s="1027"/>
      <c r="F143" s="1037"/>
      <c r="G143" s="738"/>
      <c r="H143" s="745"/>
      <c r="I143" s="976"/>
      <c r="J143" s="976"/>
      <c r="K143" s="976"/>
    </row>
    <row r="144" spans="2:14" hidden="1">
      <c r="B144" s="1003"/>
      <c r="C144" s="976"/>
      <c r="D144" s="1053" t="s">
        <v>746</v>
      </c>
      <c r="E144" s="976"/>
      <c r="F144" s="1037"/>
      <c r="G144" s="738"/>
      <c r="H144" s="745"/>
      <c r="I144" s="976"/>
      <c r="J144" s="976"/>
      <c r="K144" s="976"/>
    </row>
    <row r="145" spans="2:11" hidden="1">
      <c r="B145" s="1003"/>
      <c r="C145" s="976"/>
      <c r="D145" s="1053" t="s">
        <v>747</v>
      </c>
      <c r="E145" s="976"/>
      <c r="F145" s="1037"/>
      <c r="G145" s="738"/>
      <c r="H145" s="745"/>
      <c r="I145" s="1016" t="s">
        <v>190</v>
      </c>
      <c r="J145" s="978"/>
      <c r="K145" s="1042" t="s">
        <v>191</v>
      </c>
    </row>
    <row r="146" spans="2:11" hidden="1">
      <c r="B146" s="1003"/>
      <c r="C146" s="976"/>
      <c r="D146" s="1053" t="s">
        <v>748</v>
      </c>
      <c r="E146" s="976"/>
      <c r="F146" s="1037"/>
      <c r="G146" s="738"/>
      <c r="H146" s="745"/>
      <c r="I146" s="1016" t="s">
        <v>190</v>
      </c>
      <c r="J146" s="978"/>
      <c r="K146" s="1042" t="s">
        <v>749</v>
      </c>
    </row>
    <row r="147" spans="2:11" hidden="1">
      <c r="B147" s="1003"/>
      <c r="C147" s="976"/>
      <c r="D147" s="1053" t="s">
        <v>750</v>
      </c>
      <c r="E147" s="976"/>
      <c r="F147" s="1037"/>
      <c r="G147" s="738"/>
      <c r="H147" s="745"/>
      <c r="I147" s="1016" t="s">
        <v>190</v>
      </c>
      <c r="J147" s="997">
        <f>ข้อมูลแหล่งราคาวัสดุ!J85</f>
        <v>27438.15</v>
      </c>
      <c r="K147" s="1042" t="s">
        <v>751</v>
      </c>
    </row>
    <row r="148" spans="2:11" hidden="1">
      <c r="B148" s="1003"/>
      <c r="C148" s="976"/>
      <c r="D148" s="1053" t="s">
        <v>752</v>
      </c>
      <c r="E148" s="976"/>
      <c r="F148" s="1037"/>
      <c r="G148" s="738"/>
      <c r="H148" s="745"/>
      <c r="I148" s="1016" t="s">
        <v>190</v>
      </c>
      <c r="J148" s="1054">
        <v>1.7999999999999999E-2</v>
      </c>
      <c r="K148" s="1042" t="s">
        <v>749</v>
      </c>
    </row>
    <row r="149" spans="2:11" hidden="1">
      <c r="B149" s="1003"/>
      <c r="C149" s="976"/>
      <c r="D149" s="1053" t="s">
        <v>753</v>
      </c>
      <c r="E149" s="976"/>
      <c r="F149" s="1037"/>
      <c r="G149" s="738"/>
      <c r="H149" s="745"/>
      <c r="I149" s="1016" t="s">
        <v>190</v>
      </c>
      <c r="J149" s="997">
        <f>J1166</f>
        <v>2893.81</v>
      </c>
      <c r="K149" s="1042" t="s">
        <v>751</v>
      </c>
    </row>
    <row r="150" spans="2:11" hidden="1">
      <c r="B150" s="1003"/>
      <c r="C150" s="1052" t="s">
        <v>754</v>
      </c>
      <c r="D150" s="976"/>
      <c r="E150" s="976"/>
      <c r="F150" s="1037"/>
      <c r="G150" s="738"/>
      <c r="H150" s="745"/>
      <c r="I150" s="976"/>
      <c r="K150" s="976"/>
    </row>
    <row r="151" spans="2:11" hidden="1">
      <c r="B151" s="1003"/>
      <c r="C151" s="976"/>
      <c r="D151" s="1668" t="s">
        <v>755</v>
      </c>
      <c r="E151" s="1668"/>
      <c r="F151" s="1668"/>
      <c r="G151" s="1668"/>
      <c r="H151" s="1668"/>
      <c r="I151" s="976"/>
      <c r="J151" s="997">
        <f>ค่าดำเนินการ!H71</f>
        <v>36.43</v>
      </c>
      <c r="K151" s="1042" t="s">
        <v>191</v>
      </c>
    </row>
    <row r="152" spans="2:11" hidden="1">
      <c r="B152" s="1003"/>
      <c r="C152" s="976"/>
      <c r="D152" s="1668" t="s">
        <v>756</v>
      </c>
      <c r="E152" s="1668"/>
      <c r="F152" s="1668"/>
      <c r="G152" s="1668"/>
      <c r="H152" s="1668"/>
      <c r="I152" s="976"/>
      <c r="J152" s="997">
        <v>0.2</v>
      </c>
      <c r="K152" s="1042" t="s">
        <v>744</v>
      </c>
    </row>
    <row r="153" spans="2:11" hidden="1">
      <c r="B153" s="1003"/>
      <c r="C153" s="976"/>
      <c r="D153" s="1668" t="s">
        <v>757</v>
      </c>
      <c r="E153" s="1668"/>
      <c r="F153" s="1668"/>
      <c r="G153" s="1668"/>
      <c r="H153" s="1668"/>
      <c r="I153" s="976"/>
      <c r="J153" s="997">
        <v>3.5</v>
      </c>
      <c r="K153" s="1042" t="s">
        <v>344</v>
      </c>
    </row>
    <row r="154" spans="2:11" hidden="1">
      <c r="B154" s="1003"/>
      <c r="C154" s="976"/>
      <c r="D154" s="1668" t="s">
        <v>758</v>
      </c>
      <c r="E154" s="1668"/>
      <c r="F154" s="1668"/>
      <c r="G154" s="1668"/>
      <c r="H154" s="1668"/>
      <c r="I154" s="976"/>
      <c r="J154" s="997">
        <v>2200</v>
      </c>
      <c r="K154" s="1042" t="s">
        <v>759</v>
      </c>
    </row>
    <row r="155" spans="2:11" hidden="1">
      <c r="B155" s="1003"/>
      <c r="C155" s="1053" t="s">
        <v>760</v>
      </c>
      <c r="D155" s="976"/>
      <c r="E155" s="976"/>
      <c r="F155" s="1037"/>
      <c r="G155" s="738"/>
      <c r="H155" s="745"/>
      <c r="I155" s="1016" t="s">
        <v>190</v>
      </c>
      <c r="J155" s="997">
        <f>J1166</f>
        <v>2893.81</v>
      </c>
      <c r="K155" s="1042" t="s">
        <v>751</v>
      </c>
    </row>
    <row r="156" spans="2:11" hidden="1">
      <c r="B156" s="1003"/>
      <c r="C156" s="1053" t="s">
        <v>761</v>
      </c>
      <c r="D156" s="976"/>
      <c r="E156" s="976"/>
      <c r="F156" s="1037"/>
      <c r="G156" s="738"/>
      <c r="H156" s="745"/>
      <c r="I156" s="1016" t="s">
        <v>190</v>
      </c>
      <c r="J156" s="1054">
        <f>((J154*J152*(J153/100))/1000)</f>
        <v>1.5400000000000002E-2</v>
      </c>
      <c r="K156" s="1042" t="s">
        <v>749</v>
      </c>
    </row>
    <row r="157" spans="2:11" hidden="1">
      <c r="B157" s="1003"/>
      <c r="C157" s="1053" t="s">
        <v>762</v>
      </c>
      <c r="D157" s="976"/>
      <c r="E157" s="976"/>
      <c r="F157" s="1037"/>
      <c r="G157" s="738"/>
      <c r="H157" s="745"/>
      <c r="I157" s="1016" t="s">
        <v>190</v>
      </c>
      <c r="J157" s="997">
        <f>ROUND(J151+(J155*J156),2)</f>
        <v>80.989999999999995</v>
      </c>
      <c r="K157" s="1042" t="s">
        <v>763</v>
      </c>
    </row>
    <row r="158" spans="2:11" hidden="1">
      <c r="B158" s="1003"/>
      <c r="C158" s="1053" t="s">
        <v>764</v>
      </c>
      <c r="D158" s="976"/>
      <c r="E158" s="976"/>
      <c r="F158" s="1037"/>
      <c r="G158" s="738"/>
      <c r="H158" s="745"/>
      <c r="I158" s="1016" t="s">
        <v>190</v>
      </c>
      <c r="J158" s="997" t="e">
        <f>IF(ปร.4_1!K22=0,0,(ค่าดำเนินการ!G30/1.5/100)*(ปร.4_1!K23/ปร.4_1!K27*100))</f>
        <v>#DIV/0!</v>
      </c>
      <c r="K158" s="1042" t="s">
        <v>763</v>
      </c>
    </row>
    <row r="159" spans="2:11" ht="22.5" hidden="1" thickBot="1">
      <c r="B159" s="1003"/>
      <c r="C159" s="1053" t="s">
        <v>765</v>
      </c>
      <c r="D159" s="976"/>
      <c r="E159" s="976"/>
      <c r="F159" s="1037"/>
      <c r="G159" s="738"/>
      <c r="H159" s="745"/>
      <c r="I159" s="1016" t="s">
        <v>190</v>
      </c>
      <c r="J159" s="1017" t="e">
        <f>SUM(J157:J158)</f>
        <v>#DIV/0!</v>
      </c>
      <c r="K159" s="1042" t="s">
        <v>763</v>
      </c>
    </row>
    <row r="160" spans="2:11" ht="22.5" hidden="1" thickTop="1">
      <c r="B160" s="1003"/>
      <c r="C160" s="684"/>
      <c r="D160" s="837"/>
      <c r="E160" s="1012"/>
      <c r="F160" s="1012"/>
      <c r="G160" s="1016"/>
      <c r="H160" s="1012"/>
      <c r="I160" s="1011"/>
      <c r="J160" s="1012"/>
      <c r="K160" s="667"/>
    </row>
    <row r="161" spans="1:13" hidden="1">
      <c r="B161" s="1003"/>
      <c r="C161" s="1055" t="s">
        <v>766</v>
      </c>
      <c r="D161" s="1671" t="s">
        <v>768</v>
      </c>
      <c r="E161" s="1671"/>
      <c r="F161" s="1671"/>
      <c r="G161" s="1671"/>
      <c r="H161" s="1672" t="s">
        <v>769</v>
      </c>
      <c r="I161" s="1672"/>
      <c r="J161" s="1672"/>
      <c r="K161" s="1672"/>
    </row>
    <row r="162" spans="1:13" hidden="1">
      <c r="B162" s="1003"/>
      <c r="C162" s="1056" t="s">
        <v>767</v>
      </c>
      <c r="D162" s="1057">
        <v>0.01</v>
      </c>
      <c r="E162" s="1673">
        <v>0.02</v>
      </c>
      <c r="F162" s="1673"/>
      <c r="G162" s="1057">
        <v>0.03</v>
      </c>
      <c r="H162" s="1057">
        <v>0.02</v>
      </c>
      <c r="I162" s="1057">
        <v>0.03</v>
      </c>
      <c r="J162" s="1057">
        <v>0.04</v>
      </c>
      <c r="K162" s="1057">
        <v>0.05</v>
      </c>
    </row>
    <row r="163" spans="1:13" hidden="1">
      <c r="B163" s="1003"/>
      <c r="C163" s="1058">
        <v>10</v>
      </c>
      <c r="D163" s="1059">
        <v>1.8E-3</v>
      </c>
      <c r="E163" s="1670">
        <v>3.5999999999999999E-3</v>
      </c>
      <c r="F163" s="1670"/>
      <c r="G163" s="1059">
        <v>5.4000000000000003E-3</v>
      </c>
      <c r="H163" s="1059">
        <v>3.5999999999999999E-3</v>
      </c>
      <c r="I163" s="1059">
        <v>5.4000000000000003E-3</v>
      </c>
      <c r="J163" s="1059">
        <v>7.1999999999999998E-3</v>
      </c>
      <c r="K163" s="1059">
        <v>8.9999999999999993E-3</v>
      </c>
    </row>
    <row r="164" spans="1:13" hidden="1">
      <c r="B164" s="1003"/>
      <c r="C164" s="1058">
        <v>20</v>
      </c>
      <c r="D164" s="1059">
        <v>3.5999999999999999E-3</v>
      </c>
      <c r="E164" s="1670">
        <v>7.1999999999999998E-3</v>
      </c>
      <c r="F164" s="1670"/>
      <c r="G164" s="1059">
        <v>1.0800000000000001E-2</v>
      </c>
      <c r="H164" s="1059">
        <v>7.1999999999999998E-3</v>
      </c>
      <c r="I164" s="1059">
        <v>1.0800000000000001E-2</v>
      </c>
      <c r="J164" s="1059">
        <v>1.44E-2</v>
      </c>
      <c r="K164" s="1059">
        <v>1.7999999999999999E-2</v>
      </c>
    </row>
    <row r="165" spans="1:13" hidden="1">
      <c r="B165" s="1003"/>
      <c r="C165" s="1058">
        <v>30</v>
      </c>
      <c r="D165" s="1059">
        <v>5.4000000000000003E-3</v>
      </c>
      <c r="E165" s="1670">
        <v>1.0800000000000001E-2</v>
      </c>
      <c r="F165" s="1670"/>
      <c r="G165" s="1059">
        <v>1.6199999999999999E-2</v>
      </c>
      <c r="H165" s="1059">
        <v>1.0800000000000001E-2</v>
      </c>
      <c r="I165" s="1059">
        <v>1.6199999999999999E-2</v>
      </c>
      <c r="J165" s="1059">
        <v>2.1600000000000001E-2</v>
      </c>
      <c r="K165" s="1059">
        <v>2.7E-2</v>
      </c>
    </row>
    <row r="166" spans="1:13" hidden="1">
      <c r="B166" s="1003"/>
      <c r="C166" s="1002"/>
      <c r="D166" s="977"/>
      <c r="E166" s="1011"/>
      <c r="F166" s="1011"/>
      <c r="G166" s="1011"/>
      <c r="H166" s="1016"/>
      <c r="I166" s="1011"/>
      <c r="J166" s="1011"/>
      <c r="K166" s="1011"/>
      <c r="L166" s="1016"/>
      <c r="M166" s="1011"/>
    </row>
    <row r="167" spans="1:13">
      <c r="A167" s="1001">
        <v>2</v>
      </c>
      <c r="B167" s="1034" t="s">
        <v>237</v>
      </c>
      <c r="C167" s="976"/>
      <c r="D167" s="1060"/>
      <c r="E167" s="976"/>
      <c r="F167" s="1037"/>
      <c r="G167" s="738"/>
      <c r="H167" s="745"/>
      <c r="I167" s="976"/>
      <c r="J167" s="976"/>
      <c r="K167" s="976"/>
    </row>
    <row r="168" spans="1:13">
      <c r="B168" s="1031">
        <f>ปร.4_1!B31</f>
        <v>2.1</v>
      </c>
      <c r="C168" s="1002" t="str">
        <f>ปร.4_1!C31</f>
        <v>PRIME  COAT  &amp;  TACK  COAT   สำหรับผิวทางและไหล่ทาง</v>
      </c>
    </row>
    <row r="169" spans="1:13">
      <c r="B169" s="1207" t="str">
        <f>ปร.4_1!C32</f>
        <v>2.1.1</v>
      </c>
      <c r="C169" s="1002" t="str">
        <f>ปร.4_1!D32</f>
        <v>PRIME  COAT</v>
      </c>
    </row>
    <row r="170" spans="1:13">
      <c r="B170" s="1001"/>
      <c r="C170" s="1004" t="s">
        <v>546</v>
      </c>
      <c r="E170" s="976"/>
      <c r="F170" s="976"/>
      <c r="G170" s="738" t="s">
        <v>190</v>
      </c>
      <c r="H170" s="997">
        <f>ROUND(ข้อมูลแหล่งราคาวัสดุ!J87/1000,2)</f>
        <v>23.04</v>
      </c>
      <c r="I170" s="976" t="s">
        <v>191</v>
      </c>
      <c r="J170" s="976" t="s">
        <v>547</v>
      </c>
      <c r="K170" s="976"/>
    </row>
    <row r="171" spans="1:13">
      <c r="B171" s="976"/>
      <c r="C171" s="1004" t="s">
        <v>548</v>
      </c>
      <c r="E171" s="976"/>
      <c r="F171" s="976"/>
      <c r="G171" s="738" t="s">
        <v>190</v>
      </c>
      <c r="H171" s="997">
        <f>ค่าดำเนินการ!H36</f>
        <v>6.41</v>
      </c>
      <c r="I171" s="976" t="s">
        <v>191</v>
      </c>
      <c r="J171" s="976" t="s">
        <v>214</v>
      </c>
      <c r="K171" s="976"/>
    </row>
    <row r="172" spans="1:13">
      <c r="B172" s="1001"/>
      <c r="C172" s="1004" t="s">
        <v>233</v>
      </c>
      <c r="E172" s="976"/>
      <c r="F172" s="976"/>
      <c r="G172" s="738" t="s">
        <v>190</v>
      </c>
      <c r="H172" s="997">
        <f>SUM(H170:H171)</f>
        <v>29.45</v>
      </c>
      <c r="I172" s="976" t="s">
        <v>191</v>
      </c>
      <c r="J172" s="976" t="s">
        <v>202</v>
      </c>
      <c r="K172" s="976"/>
    </row>
    <row r="173" spans="1:13" ht="22.5" thickBot="1">
      <c r="B173" s="1001"/>
      <c r="C173" s="1004" t="s">
        <v>195</v>
      </c>
      <c r="E173" s="976"/>
      <c r="F173" s="976"/>
      <c r="G173" s="738" t="s">
        <v>190</v>
      </c>
      <c r="H173" s="1017">
        <f>H172</f>
        <v>29.45</v>
      </c>
      <c r="I173" s="976" t="s">
        <v>191</v>
      </c>
      <c r="J173" s="976"/>
      <c r="K173" s="976"/>
    </row>
    <row r="174" spans="1:13" ht="22.5" thickTop="1">
      <c r="B174" s="1001"/>
      <c r="C174" s="1004"/>
      <c r="E174" s="976"/>
      <c r="F174" s="976"/>
      <c r="G174" s="738"/>
      <c r="H174" s="745"/>
      <c r="I174" s="976"/>
      <c r="J174" s="976"/>
      <c r="K174" s="976"/>
    </row>
    <row r="175" spans="1:13" hidden="1">
      <c r="B175" s="1062" t="str">
        <f>ปร.4_1!C33</f>
        <v>2.1.2</v>
      </c>
      <c r="C175" s="1002" t="str">
        <f>ปร.4_1!D33</f>
        <v>TACK  COAT</v>
      </c>
      <c r="D175" s="997"/>
    </row>
    <row r="176" spans="1:13" hidden="1">
      <c r="B176" s="1001"/>
      <c r="C176" s="1004" t="s">
        <v>770</v>
      </c>
      <c r="D176" s="976"/>
      <c r="E176" s="976"/>
      <c r="F176" s="976"/>
      <c r="G176" s="738" t="s">
        <v>190</v>
      </c>
      <c r="H176" s="997">
        <f>ROUND(ข้อมูลแหล่งราคาวัสดุ!J88/1000*0.3,2)</f>
        <v>6.85</v>
      </c>
      <c r="I176" s="976" t="s">
        <v>191</v>
      </c>
      <c r="J176" s="976" t="s">
        <v>193</v>
      </c>
      <c r="K176" s="976"/>
    </row>
    <row r="177" spans="2:13" hidden="1">
      <c r="B177" s="976"/>
      <c r="C177" s="1004" t="s">
        <v>548</v>
      </c>
      <c r="D177" s="976"/>
      <c r="E177" s="976"/>
      <c r="F177" s="976"/>
      <c r="G177" s="738" t="s">
        <v>190</v>
      </c>
      <c r="H177" s="997">
        <f>ค่าดำเนินการ!H37</f>
        <v>6.32</v>
      </c>
      <c r="I177" s="976" t="s">
        <v>191</v>
      </c>
      <c r="J177" s="976" t="s">
        <v>214</v>
      </c>
      <c r="K177" s="976"/>
    </row>
    <row r="178" spans="2:13" hidden="1">
      <c r="B178" s="1001"/>
      <c r="C178" s="1004" t="s">
        <v>233</v>
      </c>
      <c r="D178" s="976"/>
      <c r="E178" s="976"/>
      <c r="F178" s="976"/>
      <c r="G178" s="738" t="s">
        <v>190</v>
      </c>
      <c r="H178" s="997">
        <f>SUM(H176:H177)</f>
        <v>13.17</v>
      </c>
      <c r="I178" s="976" t="s">
        <v>191</v>
      </c>
      <c r="J178" s="976" t="s">
        <v>202</v>
      </c>
      <c r="K178" s="976"/>
    </row>
    <row r="179" spans="2:13" ht="22.5" hidden="1" thickBot="1">
      <c r="B179" s="1001"/>
      <c r="C179" s="1004" t="s">
        <v>195</v>
      </c>
      <c r="D179" s="976"/>
      <c r="E179" s="976"/>
      <c r="F179" s="976"/>
      <c r="G179" s="738" t="s">
        <v>190</v>
      </c>
      <c r="H179" s="1017">
        <f>H178</f>
        <v>13.17</v>
      </c>
      <c r="I179" s="976" t="s">
        <v>191</v>
      </c>
      <c r="J179" s="976"/>
      <c r="K179" s="976"/>
    </row>
    <row r="180" spans="2:13" ht="22.5" hidden="1" thickTop="1">
      <c r="B180" s="1001"/>
      <c r="C180" s="1004"/>
      <c r="E180" s="976"/>
      <c r="F180" s="976"/>
      <c r="G180" s="738"/>
      <c r="H180" s="745"/>
      <c r="I180" s="976"/>
      <c r="J180" s="976"/>
      <c r="K180" s="976"/>
    </row>
    <row r="181" spans="2:13">
      <c r="B181" s="1023" t="s">
        <v>771</v>
      </c>
      <c r="C181" s="682"/>
      <c r="D181" s="682"/>
      <c r="E181" s="684"/>
      <c r="F181" s="684"/>
      <c r="G181" s="684"/>
      <c r="H181" s="684"/>
      <c r="I181" s="684"/>
      <c r="J181" s="684"/>
      <c r="K181" s="684"/>
      <c r="L181" s="684"/>
      <c r="M181" s="684"/>
    </row>
    <row r="182" spans="2:13">
      <c r="B182" s="682" t="s">
        <v>772</v>
      </c>
      <c r="C182" s="682"/>
      <c r="D182" s="682"/>
      <c r="E182" s="684"/>
      <c r="F182" s="684"/>
      <c r="G182" s="684"/>
      <c r="H182" s="684"/>
      <c r="I182" s="684"/>
      <c r="J182" s="684"/>
      <c r="K182" s="684"/>
      <c r="L182" s="684"/>
      <c r="M182" s="684"/>
    </row>
    <row r="183" spans="2:13" hidden="1">
      <c r="B183" s="682"/>
      <c r="C183" s="682"/>
      <c r="D183" s="682"/>
      <c r="E183" s="684"/>
      <c r="F183" s="684"/>
      <c r="G183" s="684"/>
      <c r="H183" s="684"/>
      <c r="I183" s="684"/>
      <c r="J183" s="684"/>
      <c r="K183" s="684"/>
      <c r="L183" s="684"/>
      <c r="M183" s="684"/>
    </row>
    <row r="184" spans="2:13" hidden="1">
      <c r="B184" s="682"/>
      <c r="C184" s="682"/>
      <c r="D184" s="682"/>
      <c r="E184" s="684"/>
      <c r="F184" s="684"/>
      <c r="G184" s="684"/>
      <c r="H184" s="684"/>
      <c r="I184" s="684"/>
      <c r="J184" s="684"/>
      <c r="K184" s="684"/>
      <c r="L184" s="684"/>
      <c r="M184" s="684"/>
    </row>
    <row r="185" spans="2:13" hidden="1">
      <c r="B185" s="682"/>
      <c r="C185" s="682"/>
      <c r="D185" s="682"/>
      <c r="E185" s="684"/>
      <c r="F185" s="684"/>
      <c r="G185" s="684"/>
      <c r="H185" s="684"/>
      <c r="I185" s="684"/>
      <c r="J185" s="684"/>
      <c r="K185" s="684"/>
      <c r="L185" s="684"/>
      <c r="M185" s="684"/>
    </row>
    <row r="186" spans="2:13" hidden="1">
      <c r="B186" s="682"/>
      <c r="C186" s="682"/>
      <c r="D186" s="682"/>
      <c r="E186" s="684"/>
      <c r="F186" s="684"/>
      <c r="G186" s="684"/>
      <c r="H186" s="684"/>
      <c r="I186" s="684"/>
      <c r="J186" s="684"/>
      <c r="K186" s="684"/>
      <c r="L186" s="684"/>
      <c r="M186" s="684"/>
    </row>
    <row r="187" spans="2:13" ht="22.5" thickBot="1">
      <c r="B187" s="1023" t="s">
        <v>773</v>
      </c>
      <c r="C187" s="682"/>
      <c r="D187" s="682"/>
      <c r="E187" s="684"/>
      <c r="F187" s="684"/>
      <c r="G187" s="684"/>
      <c r="H187" s="684"/>
      <c r="I187" s="684"/>
      <c r="J187" s="684"/>
      <c r="K187" s="684"/>
      <c r="L187" s="684"/>
      <c r="M187" s="684"/>
    </row>
    <row r="188" spans="2:13">
      <c r="B188" s="1669" t="s">
        <v>774</v>
      </c>
      <c r="C188" s="1669"/>
      <c r="D188" s="1669"/>
      <c r="E188" s="1639" t="s">
        <v>775</v>
      </c>
      <c r="F188" s="1639"/>
      <c r="G188" s="1639"/>
      <c r="H188" s="1639" t="s">
        <v>776</v>
      </c>
      <c r="I188" s="1639"/>
      <c r="J188" s="1639"/>
      <c r="K188" s="684"/>
      <c r="L188" s="684"/>
    </row>
    <row r="189" spans="2:13" ht="22.5" thickBot="1">
      <c r="B189" s="1674"/>
      <c r="C189" s="1674"/>
      <c r="D189" s="1674"/>
      <c r="E189" s="1649" t="s">
        <v>777</v>
      </c>
      <c r="F189" s="1649"/>
      <c r="G189" s="1649"/>
      <c r="H189" s="1649" t="s">
        <v>777</v>
      </c>
      <c r="I189" s="1649"/>
      <c r="J189" s="1649"/>
      <c r="K189" s="684"/>
      <c r="L189" s="684"/>
    </row>
    <row r="190" spans="2:13">
      <c r="B190" s="1675" t="s">
        <v>778</v>
      </c>
      <c r="C190" s="1675"/>
      <c r="D190" s="1675"/>
      <c r="E190" s="1639" t="s">
        <v>779</v>
      </c>
      <c r="F190" s="1639"/>
      <c r="G190" s="1639"/>
      <c r="H190" s="1639">
        <v>0.8</v>
      </c>
      <c r="I190" s="1639"/>
      <c r="J190" s="1639"/>
      <c r="K190" s="684"/>
      <c r="L190" s="684"/>
    </row>
    <row r="191" spans="2:13">
      <c r="B191" s="1666" t="s">
        <v>780</v>
      </c>
      <c r="C191" s="1666"/>
      <c r="D191" s="1666"/>
      <c r="E191" s="1640" t="s">
        <v>779</v>
      </c>
      <c r="F191" s="1640"/>
      <c r="G191" s="1640"/>
      <c r="H191" s="1640">
        <v>0.8</v>
      </c>
      <c r="I191" s="1640"/>
      <c r="J191" s="1640"/>
      <c r="K191" s="684"/>
      <c r="L191" s="684"/>
    </row>
    <row r="192" spans="2:13" ht="22.5" thickBot="1">
      <c r="B192" s="1667" t="s">
        <v>781</v>
      </c>
      <c r="C192" s="1667"/>
      <c r="D192" s="1667"/>
      <c r="E192" s="1649" t="s">
        <v>782</v>
      </c>
      <c r="F192" s="1649"/>
      <c r="G192" s="1649"/>
      <c r="H192" s="1649">
        <v>1</v>
      </c>
      <c r="I192" s="1649"/>
      <c r="J192" s="1649"/>
      <c r="K192" s="684"/>
      <c r="L192" s="684"/>
    </row>
    <row r="193" spans="2:13">
      <c r="B193" s="682"/>
      <c r="C193" s="682"/>
      <c r="D193" s="682"/>
      <c r="E193" s="684"/>
      <c r="F193" s="684"/>
      <c r="G193" s="684"/>
      <c r="H193" s="684"/>
      <c r="I193" s="684"/>
      <c r="J193" s="684"/>
      <c r="K193" s="684"/>
      <c r="L193" s="684"/>
      <c r="M193" s="684"/>
    </row>
    <row r="194" spans="2:13" hidden="1">
      <c r="B194" s="682"/>
      <c r="C194" s="682"/>
      <c r="D194" s="682"/>
      <c r="E194" s="684"/>
      <c r="F194" s="684"/>
      <c r="G194" s="684"/>
      <c r="H194" s="684"/>
      <c r="I194" s="684"/>
      <c r="J194" s="684"/>
      <c r="K194" s="684"/>
      <c r="L194" s="684"/>
      <c r="M194" s="684"/>
    </row>
    <row r="195" spans="2:13" hidden="1">
      <c r="B195" s="682"/>
      <c r="C195" s="682"/>
      <c r="D195" s="682"/>
      <c r="E195" s="684"/>
      <c r="F195" s="684"/>
      <c r="G195" s="684"/>
      <c r="H195" s="684"/>
      <c r="I195" s="684"/>
      <c r="J195" s="684"/>
      <c r="K195" s="684"/>
      <c r="L195" s="684"/>
      <c r="M195" s="684"/>
    </row>
    <row r="196" spans="2:13" hidden="1">
      <c r="B196" s="682"/>
      <c r="C196" s="682"/>
      <c r="D196" s="682"/>
      <c r="E196" s="684"/>
      <c r="F196" s="684"/>
      <c r="G196" s="684"/>
      <c r="H196" s="684"/>
      <c r="I196" s="684"/>
      <c r="J196" s="684"/>
      <c r="K196" s="684"/>
      <c r="L196" s="684"/>
      <c r="M196" s="684"/>
    </row>
    <row r="197" spans="2:13">
      <c r="B197" s="682"/>
      <c r="C197" s="682"/>
      <c r="D197" s="682"/>
      <c r="E197" s="684"/>
      <c r="F197" s="684"/>
      <c r="G197" s="684"/>
      <c r="H197" s="684"/>
      <c r="I197" s="684"/>
      <c r="J197" s="684"/>
      <c r="K197" s="684"/>
      <c r="L197" s="684"/>
      <c r="M197" s="684"/>
    </row>
    <row r="198" spans="2:13">
      <c r="B198" s="682" t="s">
        <v>783</v>
      </c>
      <c r="C198" s="682"/>
      <c r="D198" s="682"/>
      <c r="E198" s="684"/>
      <c r="F198" s="684"/>
      <c r="G198" s="684"/>
      <c r="H198" s="684"/>
      <c r="I198" s="684"/>
      <c r="J198" s="684"/>
      <c r="K198" s="684"/>
      <c r="L198" s="684"/>
      <c r="M198" s="684"/>
    </row>
    <row r="199" spans="2:13">
      <c r="B199" s="682"/>
      <c r="C199" s="682"/>
      <c r="D199" s="682"/>
      <c r="E199" s="684"/>
      <c r="F199" s="684"/>
      <c r="G199" s="684"/>
      <c r="H199" s="684"/>
      <c r="I199" s="684"/>
      <c r="J199" s="684"/>
      <c r="K199" s="684"/>
      <c r="L199" s="684"/>
      <c r="M199" s="684"/>
    </row>
    <row r="200" spans="2:13" ht="22.5" thickBot="1">
      <c r="B200" s="1023" t="s">
        <v>784</v>
      </c>
      <c r="C200" s="682"/>
      <c r="D200" s="682"/>
      <c r="E200" s="684"/>
      <c r="F200" s="684"/>
      <c r="G200" s="684"/>
      <c r="H200" s="684"/>
      <c r="I200" s="684"/>
      <c r="J200" s="684"/>
      <c r="K200" s="684"/>
      <c r="L200" s="684"/>
      <c r="M200" s="684"/>
    </row>
    <row r="201" spans="2:13">
      <c r="B201" s="1669" t="s">
        <v>785</v>
      </c>
      <c r="C201" s="1669"/>
      <c r="D201" s="1669"/>
      <c r="E201" s="1063" t="s">
        <v>786</v>
      </c>
      <c r="F201" s="1064"/>
      <c r="G201" s="1064"/>
      <c r="H201" s="1064"/>
      <c r="I201" s="1064"/>
      <c r="J201" s="1064"/>
      <c r="K201" s="1639" t="s">
        <v>787</v>
      </c>
      <c r="L201" s="1639"/>
    </row>
    <row r="202" spans="2:13" ht="22.5" thickBot="1">
      <c r="B202" s="1665"/>
      <c r="C202" s="1665"/>
      <c r="D202" s="1665"/>
      <c r="E202" s="1065" t="s">
        <v>788</v>
      </c>
      <c r="F202" s="1066"/>
      <c r="G202" s="1066"/>
      <c r="H202" s="1066"/>
      <c r="I202" s="1066"/>
      <c r="J202" s="1066"/>
      <c r="K202" s="1640" t="s">
        <v>789</v>
      </c>
      <c r="L202" s="1640"/>
    </row>
    <row r="203" spans="2:13" ht="22.5" thickBot="1">
      <c r="B203" s="1674"/>
      <c r="C203" s="1674"/>
      <c r="D203" s="1674"/>
      <c r="E203" s="1676" t="s">
        <v>790</v>
      </c>
      <c r="F203" s="1676"/>
      <c r="G203" s="1676"/>
      <c r="H203" s="1676" t="s">
        <v>791</v>
      </c>
      <c r="I203" s="1676"/>
      <c r="J203" s="1676"/>
      <c r="K203" s="1649"/>
      <c r="L203" s="1649"/>
    </row>
    <row r="204" spans="2:13">
      <c r="B204" s="1639" t="s">
        <v>792</v>
      </c>
      <c r="C204" s="1639"/>
      <c r="D204" s="1639"/>
      <c r="E204" s="1639">
        <v>5.0999999999999996</v>
      </c>
      <c r="F204" s="1639"/>
      <c r="G204" s="1639"/>
      <c r="H204" s="1639">
        <v>5.2</v>
      </c>
      <c r="I204" s="1639"/>
      <c r="J204" s="1639"/>
      <c r="K204" s="1639">
        <v>4.5</v>
      </c>
      <c r="L204" s="1639"/>
    </row>
    <row r="205" spans="2:13">
      <c r="B205" s="1640" t="s">
        <v>793</v>
      </c>
      <c r="C205" s="1640"/>
      <c r="D205" s="1640"/>
      <c r="E205" s="1640">
        <v>5.4</v>
      </c>
      <c r="F205" s="1640"/>
      <c r="G205" s="1640"/>
      <c r="H205" s="1640">
        <v>5.5</v>
      </c>
      <c r="I205" s="1640"/>
      <c r="J205" s="1640"/>
      <c r="K205" s="1640" t="s">
        <v>10</v>
      </c>
      <c r="L205" s="1640"/>
    </row>
    <row r="206" spans="2:13" ht="22.5" thickBot="1">
      <c r="B206" s="1649" t="s">
        <v>794</v>
      </c>
      <c r="C206" s="1649"/>
      <c r="D206" s="1649"/>
      <c r="E206" s="1649">
        <v>5.8</v>
      </c>
      <c r="F206" s="1649"/>
      <c r="G206" s="1649"/>
      <c r="H206" s="1649">
        <v>5.9</v>
      </c>
      <c r="I206" s="1649"/>
      <c r="J206" s="1649"/>
      <c r="K206" s="1649" t="s">
        <v>10</v>
      </c>
      <c r="L206" s="1649"/>
    </row>
    <row r="207" spans="2:13">
      <c r="B207" s="1009"/>
      <c r="C207" s="684"/>
      <c r="D207" s="684"/>
      <c r="E207" s="684"/>
      <c r="F207" s="684"/>
      <c r="G207" s="684"/>
      <c r="H207" s="684"/>
      <c r="I207" s="684"/>
      <c r="J207" s="684"/>
      <c r="K207" s="684"/>
      <c r="L207" s="684"/>
      <c r="M207" s="684"/>
    </row>
    <row r="208" spans="2:13">
      <c r="B208" s="1003">
        <f>ปร.4_1!B34</f>
        <v>2.2000000000000002</v>
      </c>
      <c r="C208" s="1002" t="str">
        <f>ปร.4_1!C34</f>
        <v>งานผิวทางแบบเซอร์เฟซทรีตเมนต์ชั้นเดียว (S.S.T. )</v>
      </c>
      <c r="D208" s="684"/>
      <c r="E208" s="684"/>
      <c r="F208" s="684"/>
      <c r="G208" s="684"/>
      <c r="H208" s="684"/>
      <c r="I208" s="684"/>
      <c r="J208" s="684"/>
      <c r="K208" s="684"/>
      <c r="L208" s="684"/>
      <c r="M208" s="684"/>
    </row>
    <row r="209" spans="2:13">
      <c r="B209" s="1009"/>
      <c r="C209" s="1009" t="s">
        <v>941</v>
      </c>
      <c r="D209" s="684"/>
      <c r="E209" s="684"/>
      <c r="F209" s="684"/>
      <c r="G209" s="684"/>
      <c r="H209" s="684"/>
      <c r="I209" s="684"/>
      <c r="J209" s="684"/>
      <c r="K209" s="684"/>
      <c r="L209" s="684"/>
      <c r="M209" s="684"/>
    </row>
    <row r="210" spans="2:13">
      <c r="B210" s="1009"/>
      <c r="C210" s="1009" t="s">
        <v>942</v>
      </c>
      <c r="D210" s="684"/>
      <c r="E210" s="684"/>
      <c r="F210" s="684"/>
      <c r="G210" s="684"/>
      <c r="H210" s="684"/>
      <c r="I210" s="684"/>
      <c r="J210" s="684"/>
      <c r="K210" s="684"/>
      <c r="L210" s="684"/>
      <c r="M210" s="684"/>
    </row>
    <row r="211" spans="2:13">
      <c r="B211" s="1009"/>
      <c r="C211" s="1009" t="s">
        <v>961</v>
      </c>
      <c r="D211" s="684"/>
      <c r="E211" s="684"/>
      <c r="F211" s="684"/>
      <c r="G211" s="684"/>
      <c r="H211" s="684"/>
      <c r="I211" s="684"/>
      <c r="J211" s="684"/>
      <c r="K211" s="684"/>
      <c r="L211" s="684"/>
      <c r="M211" s="684"/>
    </row>
    <row r="212" spans="2:13">
      <c r="B212" s="1009"/>
      <c r="C212" s="684" t="s">
        <v>943</v>
      </c>
      <c r="D212" s="684"/>
      <c r="E212" s="684"/>
      <c r="F212" s="684"/>
      <c r="G212" s="684"/>
      <c r="H212" s="684"/>
      <c r="I212" s="738" t="s">
        <v>190</v>
      </c>
      <c r="J212" s="1012">
        <f>ข้อมูลแหล่งราคาวัสดุ!D20</f>
        <v>380</v>
      </c>
      <c r="K212" s="976" t="s">
        <v>183</v>
      </c>
      <c r="L212" s="976" t="s">
        <v>193</v>
      </c>
      <c r="M212" s="684"/>
    </row>
    <row r="213" spans="2:13">
      <c r="B213" s="1009"/>
      <c r="C213" s="684" t="s">
        <v>136</v>
      </c>
      <c r="D213" s="1012">
        <f>ข้อมูลแหล่งราคาวัสดุ!E20</f>
        <v>20</v>
      </c>
      <c r="E213" s="747" t="s">
        <v>181</v>
      </c>
      <c r="F213" s="684"/>
      <c r="I213" s="738" t="s">
        <v>190</v>
      </c>
      <c r="J213" s="1012">
        <f>ข้อมูลแหล่งราคาวัสดุ!I20</f>
        <v>63.44</v>
      </c>
      <c r="K213" s="976" t="s">
        <v>183</v>
      </c>
      <c r="L213" s="976" t="s">
        <v>200</v>
      </c>
      <c r="M213" s="684"/>
    </row>
    <row r="214" spans="2:13">
      <c r="B214" s="1009"/>
      <c r="C214" s="684" t="s">
        <v>26</v>
      </c>
      <c r="D214" s="684"/>
      <c r="E214" s="684"/>
      <c r="F214" s="684"/>
      <c r="I214" s="738" t="s">
        <v>190</v>
      </c>
      <c r="J214" s="997">
        <f>SUM(J212:J213)</f>
        <v>443.44</v>
      </c>
      <c r="K214" s="976" t="s">
        <v>183</v>
      </c>
      <c r="L214" s="976" t="s">
        <v>202</v>
      </c>
      <c r="M214" s="684"/>
    </row>
    <row r="215" spans="2:13">
      <c r="B215" s="1009"/>
      <c r="C215" s="684" t="s">
        <v>944</v>
      </c>
      <c r="D215" s="684"/>
      <c r="E215" s="684"/>
      <c r="F215" s="684"/>
      <c r="G215" s="684"/>
      <c r="H215" s="684"/>
      <c r="I215" s="738" t="s">
        <v>190</v>
      </c>
      <c r="J215" s="1067">
        <f>J214*0.01286</f>
        <v>5.7026383999999997</v>
      </c>
      <c r="K215" s="976" t="s">
        <v>183</v>
      </c>
      <c r="L215" s="976" t="s">
        <v>945</v>
      </c>
      <c r="M215" s="684"/>
    </row>
    <row r="216" spans="2:13">
      <c r="B216" s="1009"/>
      <c r="C216" s="684" t="s">
        <v>946</v>
      </c>
      <c r="D216" s="684"/>
      <c r="E216" s="684"/>
      <c r="F216" s="684"/>
      <c r="G216" s="684"/>
      <c r="H216" s="684"/>
      <c r="I216" s="738" t="s">
        <v>190</v>
      </c>
      <c r="J216" s="1012">
        <f>ข้อมูลแหล่งราคาวัสดุ!D88</f>
        <v>22500</v>
      </c>
      <c r="K216" s="976" t="s">
        <v>182</v>
      </c>
      <c r="L216" s="976" t="s">
        <v>236</v>
      </c>
      <c r="M216" s="684"/>
    </row>
    <row r="217" spans="2:13">
      <c r="B217" s="1009"/>
      <c r="C217" s="684" t="s">
        <v>136</v>
      </c>
      <c r="D217" s="1012">
        <f>ข้อมูลแหล่งราคาวัสดุ!E88</f>
        <v>250</v>
      </c>
      <c r="E217" s="747" t="s">
        <v>181</v>
      </c>
      <c r="F217" s="684"/>
      <c r="I217" s="738" t="s">
        <v>190</v>
      </c>
      <c r="J217" s="1012">
        <f>ข้อมูลแหล่งราคาวัสดุ!I88</f>
        <v>338.15</v>
      </c>
      <c r="K217" s="976" t="s">
        <v>182</v>
      </c>
      <c r="L217" s="976" t="s">
        <v>947</v>
      </c>
      <c r="M217" s="684"/>
    </row>
    <row r="218" spans="2:13">
      <c r="B218" s="1009"/>
      <c r="C218" s="684" t="s">
        <v>26</v>
      </c>
      <c r="D218" s="684"/>
      <c r="E218" s="684"/>
      <c r="F218" s="684"/>
      <c r="I218" s="738" t="s">
        <v>190</v>
      </c>
      <c r="J218" s="997">
        <f>SUM(J216:J217)</f>
        <v>22838.15</v>
      </c>
      <c r="K218" s="976" t="s">
        <v>182</v>
      </c>
      <c r="L218" s="976" t="s">
        <v>221</v>
      </c>
      <c r="M218" s="684"/>
    </row>
    <row r="219" spans="2:13">
      <c r="B219" s="1009"/>
      <c r="C219" s="684" t="s">
        <v>948</v>
      </c>
      <c r="D219" s="684"/>
      <c r="E219" s="684"/>
      <c r="F219" s="684"/>
      <c r="G219" s="684"/>
      <c r="H219" s="684"/>
      <c r="I219" s="738" t="s">
        <v>190</v>
      </c>
      <c r="J219" s="1067">
        <f>J218*0.00123</f>
        <v>28.0909245</v>
      </c>
      <c r="K219" s="976" t="s">
        <v>191</v>
      </c>
      <c r="L219" s="976" t="s">
        <v>949</v>
      </c>
      <c r="M219" s="684"/>
    </row>
    <row r="220" spans="2:13">
      <c r="B220" s="1009"/>
      <c r="C220" s="684" t="s">
        <v>950</v>
      </c>
      <c r="D220" s="1012">
        <f>ปร.4_1!D4</f>
        <v>0.84</v>
      </c>
      <c r="E220" s="747" t="s">
        <v>181</v>
      </c>
      <c r="F220" s="684" t="s">
        <v>951</v>
      </c>
      <c r="G220" s="684"/>
      <c r="H220" s="684"/>
      <c r="I220" s="738" t="s">
        <v>190</v>
      </c>
      <c r="J220" s="1068">
        <f>ROUNDDOWN(D220/4,3)</f>
        <v>0.21</v>
      </c>
      <c r="K220" s="976" t="s">
        <v>181</v>
      </c>
      <c r="L220" s="976" t="s">
        <v>262</v>
      </c>
      <c r="M220" s="684"/>
    </row>
    <row r="221" spans="2:13">
      <c r="B221" s="1009"/>
      <c r="C221" s="684" t="s">
        <v>952</v>
      </c>
      <c r="D221" s="1012">
        <f>IF(J220&lt;1,1,INT(J220))</f>
        <v>1</v>
      </c>
      <c r="E221" s="747" t="s">
        <v>181</v>
      </c>
      <c r="F221" s="684" t="s">
        <v>953</v>
      </c>
      <c r="G221" s="684"/>
      <c r="H221" s="684"/>
      <c r="I221" s="738" t="s">
        <v>190</v>
      </c>
      <c r="J221" s="997">
        <f>VLOOKUP(D221,บรรทุกสิบล้อ!A9:C13,3)</f>
        <v>10.99</v>
      </c>
      <c r="K221" s="976" t="s">
        <v>183</v>
      </c>
      <c r="L221" s="976" t="s">
        <v>379</v>
      </c>
      <c r="M221" s="684"/>
    </row>
    <row r="222" spans="2:13">
      <c r="B222" s="1009"/>
      <c r="C222" s="684" t="s">
        <v>954</v>
      </c>
      <c r="D222" s="684"/>
      <c r="E222" s="684"/>
      <c r="F222" s="684" t="s">
        <v>955</v>
      </c>
      <c r="G222" s="684"/>
      <c r="H222" s="684"/>
      <c r="I222" s="738" t="s">
        <v>190</v>
      </c>
      <c r="J222" s="1067">
        <f>J221*0.01222</f>
        <v>0.13429779999999999</v>
      </c>
      <c r="K222" s="976" t="s">
        <v>191</v>
      </c>
      <c r="L222" s="976" t="s">
        <v>956</v>
      </c>
      <c r="M222" s="684"/>
    </row>
    <row r="223" spans="2:13">
      <c r="B223" s="1009"/>
      <c r="C223" s="684" t="s">
        <v>957</v>
      </c>
      <c r="D223" s="684"/>
      <c r="E223" s="684"/>
      <c r="F223" s="684"/>
      <c r="G223" s="684"/>
      <c r="H223" s="684"/>
      <c r="I223" s="738" t="s">
        <v>190</v>
      </c>
      <c r="J223" s="1069">
        <f>ค่าดำเนินการ!H39</f>
        <v>15.1</v>
      </c>
      <c r="K223" s="976" t="s">
        <v>191</v>
      </c>
      <c r="L223" s="976" t="s">
        <v>958</v>
      </c>
      <c r="M223" s="684"/>
    </row>
    <row r="224" spans="2:13">
      <c r="B224" s="1009"/>
      <c r="C224" s="684" t="s">
        <v>233</v>
      </c>
      <c r="D224" s="684"/>
      <c r="E224" s="684"/>
      <c r="F224" s="684"/>
      <c r="G224" s="684"/>
      <c r="H224" s="684"/>
      <c r="I224" s="738" t="s">
        <v>190</v>
      </c>
      <c r="J224" s="997">
        <f>SUM(J215,J219,J222:J223)</f>
        <v>49.027860699999998</v>
      </c>
      <c r="K224" s="976" t="s">
        <v>191</v>
      </c>
      <c r="L224" s="976" t="s">
        <v>959</v>
      </c>
      <c r="M224" s="684"/>
    </row>
    <row r="225" spans="2:13" ht="22.5" thickBot="1">
      <c r="B225" s="1009"/>
      <c r="C225" s="684" t="s">
        <v>195</v>
      </c>
      <c r="D225" s="684"/>
      <c r="E225" s="684"/>
      <c r="F225" s="684"/>
      <c r="G225" s="684"/>
      <c r="H225" s="684"/>
      <c r="I225" s="738"/>
      <c r="J225" s="1017">
        <f>J224</f>
        <v>49.027860699999998</v>
      </c>
      <c r="K225" s="976" t="s">
        <v>191</v>
      </c>
      <c r="L225" s="976" t="s">
        <v>960</v>
      </c>
      <c r="M225" s="684"/>
    </row>
    <row r="226" spans="2:13" ht="22.5" hidden="1" thickTop="1">
      <c r="B226" s="1009"/>
      <c r="C226" s="684"/>
      <c r="D226" s="684"/>
      <c r="E226" s="684"/>
      <c r="F226" s="684"/>
      <c r="G226" s="684"/>
      <c r="H226" s="684"/>
      <c r="I226" s="738"/>
      <c r="J226" s="1070"/>
      <c r="K226" s="976"/>
      <c r="M226" s="684"/>
    </row>
    <row r="227" spans="2:13" hidden="1">
      <c r="B227" s="1009"/>
      <c r="C227" s="1009" t="s">
        <v>962</v>
      </c>
      <c r="D227" s="684"/>
      <c r="E227" s="684"/>
      <c r="F227" s="684"/>
      <c r="G227" s="684"/>
      <c r="H227" s="684"/>
      <c r="I227" s="738"/>
      <c r="J227" s="1070"/>
      <c r="K227" s="976"/>
      <c r="M227" s="684"/>
    </row>
    <row r="228" spans="2:13" hidden="1">
      <c r="B228" s="1009"/>
      <c r="C228" s="684" t="s">
        <v>963</v>
      </c>
      <c r="D228" s="684"/>
      <c r="E228" s="684"/>
      <c r="F228" s="684"/>
      <c r="G228" s="684"/>
      <c r="H228" s="684"/>
      <c r="I228" s="738" t="s">
        <v>190</v>
      </c>
      <c r="J228" s="1012">
        <f>ข้อมูลแหล่งราคาวัสดุ!D91</f>
        <v>22900</v>
      </c>
      <c r="K228" s="976" t="s">
        <v>183</v>
      </c>
      <c r="L228" s="976" t="s">
        <v>964</v>
      </c>
      <c r="M228" s="684"/>
    </row>
    <row r="229" spans="2:13" hidden="1">
      <c r="B229" s="1009"/>
      <c r="C229" s="684" t="s">
        <v>136</v>
      </c>
      <c r="D229" s="1012">
        <f>ข้อมูลแหล่งราคาวัสดุ!E91</f>
        <v>250</v>
      </c>
      <c r="E229" s="747" t="s">
        <v>181</v>
      </c>
      <c r="F229" s="684"/>
      <c r="I229" s="738" t="s">
        <v>190</v>
      </c>
      <c r="J229" s="1012">
        <f>ข้อมูลแหล่งราคาวัสดุ!I91</f>
        <v>338.15</v>
      </c>
      <c r="K229" s="976" t="s">
        <v>183</v>
      </c>
      <c r="L229" s="976" t="s">
        <v>973</v>
      </c>
      <c r="M229" s="684"/>
    </row>
    <row r="230" spans="2:13" hidden="1">
      <c r="B230" s="1009"/>
      <c r="C230" s="684" t="s">
        <v>26</v>
      </c>
      <c r="D230" s="684"/>
      <c r="E230" s="684"/>
      <c r="F230" s="684"/>
      <c r="I230" s="738" t="s">
        <v>190</v>
      </c>
      <c r="J230" s="997">
        <f>SUM(J228:J229)</f>
        <v>23238.15</v>
      </c>
      <c r="K230" s="976" t="s">
        <v>183</v>
      </c>
      <c r="L230" s="976" t="s">
        <v>965</v>
      </c>
      <c r="M230" s="684"/>
    </row>
    <row r="231" spans="2:13" hidden="1">
      <c r="B231" s="1009"/>
      <c r="C231" s="684" t="s">
        <v>966</v>
      </c>
      <c r="D231" s="684"/>
      <c r="E231" s="684"/>
      <c r="F231" s="684"/>
      <c r="G231" s="684" t="s">
        <v>967</v>
      </c>
      <c r="H231" s="684"/>
      <c r="I231" s="738" t="s">
        <v>190</v>
      </c>
      <c r="J231" s="1067">
        <f>J230*0.00031</f>
        <v>7.2038265000000008</v>
      </c>
      <c r="K231" s="976" t="s">
        <v>191</v>
      </c>
      <c r="L231" s="976" t="s">
        <v>968</v>
      </c>
      <c r="M231" s="684"/>
    </row>
    <row r="232" spans="2:13" hidden="1">
      <c r="B232" s="1009"/>
      <c r="C232" s="684" t="s">
        <v>969</v>
      </c>
      <c r="D232" s="684"/>
      <c r="E232" s="684"/>
      <c r="F232" s="684"/>
      <c r="G232" s="684"/>
      <c r="H232" s="684"/>
      <c r="I232" s="738" t="s">
        <v>190</v>
      </c>
      <c r="J232" s="1069">
        <f>ค่าดำเนินการ!H75</f>
        <v>2.5</v>
      </c>
      <c r="K232" s="976" t="s">
        <v>191</v>
      </c>
      <c r="L232" s="976" t="s">
        <v>970</v>
      </c>
      <c r="M232" s="684"/>
    </row>
    <row r="233" spans="2:13" hidden="1">
      <c r="B233" s="1009"/>
      <c r="C233" s="684" t="s">
        <v>233</v>
      </c>
      <c r="D233" s="684"/>
      <c r="E233" s="684"/>
      <c r="F233" s="684"/>
      <c r="G233" s="684"/>
      <c r="H233" s="684"/>
      <c r="I233" s="738" t="s">
        <v>190</v>
      </c>
      <c r="J233" s="997">
        <f>SUM(J231:J232)</f>
        <v>9.7038265000000017</v>
      </c>
      <c r="K233" s="976" t="s">
        <v>191</v>
      </c>
      <c r="L233" s="976" t="s">
        <v>971</v>
      </c>
      <c r="M233" s="684"/>
    </row>
    <row r="234" spans="2:13" ht="22.5" hidden="1" thickBot="1">
      <c r="B234" s="1009"/>
      <c r="C234" s="684" t="s">
        <v>195</v>
      </c>
      <c r="D234" s="684"/>
      <c r="E234" s="684"/>
      <c r="F234" s="684"/>
      <c r="G234" s="684"/>
      <c r="H234" s="684"/>
      <c r="I234" s="738"/>
      <c r="J234" s="1017">
        <f>J233</f>
        <v>9.7038265000000017</v>
      </c>
      <c r="K234" s="976" t="s">
        <v>191</v>
      </c>
      <c r="L234" s="976" t="s">
        <v>972</v>
      </c>
      <c r="M234" s="684"/>
    </row>
    <row r="235" spans="2:13" ht="22.5" hidden="1" thickTop="1">
      <c r="B235" s="1009"/>
      <c r="C235" s="684"/>
      <c r="D235" s="684"/>
      <c r="E235" s="684"/>
      <c r="F235" s="684"/>
      <c r="G235" s="684"/>
      <c r="H235" s="684"/>
      <c r="I235" s="738"/>
      <c r="J235" s="1070"/>
      <c r="K235" s="976"/>
      <c r="M235" s="684"/>
    </row>
    <row r="236" spans="2:13" hidden="1">
      <c r="B236" s="1009">
        <f>ปร.4_1!B35</f>
        <v>2.2999999999999998</v>
      </c>
      <c r="C236" s="1009" t="s">
        <v>974</v>
      </c>
      <c r="D236" s="684"/>
      <c r="E236" s="684"/>
      <c r="F236" s="684"/>
      <c r="G236" s="684"/>
      <c r="H236" s="684"/>
      <c r="I236" s="738"/>
      <c r="J236" s="1070"/>
      <c r="K236" s="976"/>
      <c r="M236" s="684"/>
    </row>
    <row r="237" spans="2:13" hidden="1">
      <c r="B237" s="1009"/>
      <c r="C237" s="684" t="s">
        <v>975</v>
      </c>
      <c r="D237" s="684"/>
      <c r="E237" s="684"/>
      <c r="F237" s="684"/>
      <c r="G237" s="684"/>
      <c r="H237" s="684"/>
      <c r="I237" s="738" t="s">
        <v>190</v>
      </c>
      <c r="J237" s="1012">
        <f>ข้อมูลแหล่งราคาวัสดุ!D18</f>
        <v>242.99</v>
      </c>
      <c r="K237" s="976" t="s">
        <v>183</v>
      </c>
      <c r="L237" s="976" t="s">
        <v>976</v>
      </c>
      <c r="M237" s="684"/>
    </row>
    <row r="238" spans="2:13" hidden="1">
      <c r="B238" s="1009"/>
      <c r="C238" s="684" t="s">
        <v>136</v>
      </c>
      <c r="D238" s="1012">
        <f>ข้อมูลแหล่งราคาวัสดุ!E18</f>
        <v>20</v>
      </c>
      <c r="E238" s="747" t="s">
        <v>181</v>
      </c>
      <c r="F238" s="684"/>
      <c r="I238" s="738" t="s">
        <v>190</v>
      </c>
      <c r="J238" s="1012">
        <f>ข้อมูลแหล่งราคาวัสดุ!I18</f>
        <v>63.44</v>
      </c>
      <c r="K238" s="976" t="s">
        <v>183</v>
      </c>
      <c r="L238" s="976" t="s">
        <v>977</v>
      </c>
      <c r="M238" s="684"/>
    </row>
    <row r="239" spans="2:13" hidden="1">
      <c r="B239" s="1009"/>
      <c r="C239" s="684" t="s">
        <v>26</v>
      </c>
      <c r="D239" s="684"/>
      <c r="E239" s="684"/>
      <c r="F239" s="684"/>
      <c r="I239" s="738" t="s">
        <v>190</v>
      </c>
      <c r="J239" s="997">
        <f>SUM(J237:J238)</f>
        <v>306.43</v>
      </c>
      <c r="K239" s="976" t="s">
        <v>183</v>
      </c>
      <c r="L239" s="976" t="s">
        <v>978</v>
      </c>
      <c r="M239" s="684"/>
    </row>
    <row r="240" spans="2:13" hidden="1">
      <c r="B240" s="1009"/>
      <c r="C240" s="684" t="s">
        <v>979</v>
      </c>
      <c r="D240" s="684"/>
      <c r="E240" s="684"/>
      <c r="F240" s="684"/>
      <c r="G240" s="684"/>
      <c r="H240" s="684"/>
      <c r="I240" s="738" t="s">
        <v>190</v>
      </c>
      <c r="J240" s="1067">
        <f>J239*1.2155</f>
        <v>372.465665</v>
      </c>
      <c r="K240" s="976" t="s">
        <v>238</v>
      </c>
      <c r="L240" s="976" t="s">
        <v>980</v>
      </c>
      <c r="M240" s="684"/>
    </row>
    <row r="241" spans="2:13" hidden="1">
      <c r="B241" s="1009"/>
      <c r="C241" s="684" t="s">
        <v>981</v>
      </c>
      <c r="D241" s="684"/>
      <c r="E241" s="684"/>
      <c r="F241" s="684"/>
      <c r="G241" s="684"/>
      <c r="H241" s="684"/>
      <c r="I241" s="738" t="s">
        <v>190</v>
      </c>
      <c r="J241" s="1012">
        <f>ข้อมูลแหล่งราคาวัสดุ!D91</f>
        <v>22900</v>
      </c>
      <c r="K241" s="976" t="s">
        <v>182</v>
      </c>
      <c r="L241" s="976" t="s">
        <v>982</v>
      </c>
      <c r="M241" s="684"/>
    </row>
    <row r="242" spans="2:13" hidden="1">
      <c r="B242" s="1009"/>
      <c r="C242" s="684" t="s">
        <v>136</v>
      </c>
      <c r="D242" s="1012">
        <f>ข้อมูลแหล่งราคาวัสดุ!E91</f>
        <v>250</v>
      </c>
      <c r="E242" s="747" t="s">
        <v>181</v>
      </c>
      <c r="F242" s="684"/>
      <c r="I242" s="738" t="s">
        <v>190</v>
      </c>
      <c r="J242" s="1012">
        <f>ข้อมูลแหล่งราคาวัสดุ!I91</f>
        <v>338.15</v>
      </c>
      <c r="K242" s="976" t="s">
        <v>182</v>
      </c>
      <c r="L242" s="976" t="s">
        <v>983</v>
      </c>
      <c r="M242" s="684"/>
    </row>
    <row r="243" spans="2:13" hidden="1">
      <c r="B243" s="1009"/>
      <c r="C243" s="684" t="s">
        <v>26</v>
      </c>
      <c r="D243" s="684"/>
      <c r="E243" s="684"/>
      <c r="F243" s="684"/>
      <c r="I243" s="738" t="s">
        <v>190</v>
      </c>
      <c r="J243" s="997">
        <f>SUM(J241:J242)</f>
        <v>23238.15</v>
      </c>
      <c r="K243" s="976" t="s">
        <v>182</v>
      </c>
      <c r="L243" s="976" t="s">
        <v>984</v>
      </c>
      <c r="M243" s="684"/>
    </row>
    <row r="244" spans="2:13" hidden="1">
      <c r="B244" s="1009"/>
      <c r="C244" s="684" t="s">
        <v>985</v>
      </c>
      <c r="D244" s="684"/>
      <c r="E244" s="684"/>
      <c r="F244" s="684"/>
      <c r="G244" s="684"/>
      <c r="H244" s="684"/>
      <c r="I244" s="738" t="s">
        <v>190</v>
      </c>
      <c r="J244" s="1067">
        <f>J243*0.25779</f>
        <v>5990.5626885000011</v>
      </c>
      <c r="K244" s="976" t="s">
        <v>238</v>
      </c>
      <c r="L244" s="976" t="s">
        <v>986</v>
      </c>
      <c r="M244" s="684"/>
    </row>
    <row r="245" spans="2:13" hidden="1">
      <c r="B245" s="1009"/>
      <c r="C245" s="684" t="s">
        <v>950</v>
      </c>
      <c r="D245" s="1012">
        <f>ปร.4_1!D4</f>
        <v>0.84</v>
      </c>
      <c r="E245" s="747" t="s">
        <v>181</v>
      </c>
      <c r="F245" s="684" t="s">
        <v>951</v>
      </c>
      <c r="G245" s="684"/>
      <c r="H245" s="684"/>
      <c r="I245" s="738" t="s">
        <v>190</v>
      </c>
      <c r="J245" s="1068">
        <f>ROUNDDOWN(D245/4,3)</f>
        <v>0.21</v>
      </c>
      <c r="K245" s="976" t="s">
        <v>181</v>
      </c>
      <c r="L245" s="976" t="s">
        <v>987</v>
      </c>
      <c r="M245" s="684"/>
    </row>
    <row r="246" spans="2:13" hidden="1">
      <c r="B246" s="1009"/>
      <c r="C246" s="684" t="s">
        <v>952</v>
      </c>
      <c r="D246" s="1012">
        <f>IF(J245&lt;1,1,INT(J245))</f>
        <v>1</v>
      </c>
      <c r="E246" s="747" t="s">
        <v>181</v>
      </c>
      <c r="F246" s="684" t="s">
        <v>953</v>
      </c>
      <c r="G246" s="684"/>
      <c r="H246" s="684"/>
      <c r="I246" s="738" t="s">
        <v>190</v>
      </c>
      <c r="J246" s="997">
        <f>VLOOKUP(D246,บรรทุกสิบล้อ!A9:C13,3)</f>
        <v>10.99</v>
      </c>
      <c r="K246" s="976" t="s">
        <v>183</v>
      </c>
      <c r="L246" s="976" t="s">
        <v>988</v>
      </c>
      <c r="M246" s="684"/>
    </row>
    <row r="247" spans="2:13" hidden="1">
      <c r="B247" s="1009"/>
      <c r="C247" s="684" t="s">
        <v>989</v>
      </c>
      <c r="D247" s="684"/>
      <c r="E247" s="684"/>
      <c r="F247" s="684" t="s">
        <v>955</v>
      </c>
      <c r="G247" s="684"/>
      <c r="H247" s="684"/>
      <c r="I247" s="738" t="s">
        <v>190</v>
      </c>
      <c r="J247" s="1067">
        <f>J246*1.85</f>
        <v>20.331500000000002</v>
      </c>
      <c r="K247" s="976" t="s">
        <v>238</v>
      </c>
      <c r="L247" s="976" t="s">
        <v>990</v>
      </c>
      <c r="M247" s="684"/>
    </row>
    <row r="248" spans="2:13" hidden="1">
      <c r="B248" s="1009"/>
      <c r="C248" s="684" t="s">
        <v>996</v>
      </c>
      <c r="D248" s="684"/>
      <c r="E248" s="684"/>
      <c r="F248" s="684"/>
      <c r="G248" s="684"/>
      <c r="H248" s="684"/>
      <c r="I248" s="738" t="s">
        <v>190</v>
      </c>
      <c r="J248" s="1012">
        <f>ข้อมูลแหล่งราคาวัสดุ!D71</f>
        <v>2816.2</v>
      </c>
      <c r="K248" s="976" t="s">
        <v>182</v>
      </c>
      <c r="L248" s="976" t="s">
        <v>991</v>
      </c>
      <c r="M248" s="684"/>
    </row>
    <row r="249" spans="2:13" hidden="1">
      <c r="B249" s="1009"/>
      <c r="C249" s="684" t="s">
        <v>136</v>
      </c>
      <c r="D249" s="1012">
        <f>ข้อมูลแหล่งราคาวัสดุ!E71</f>
        <v>20</v>
      </c>
      <c r="E249" s="747" t="s">
        <v>181</v>
      </c>
      <c r="F249" s="684"/>
      <c r="I249" s="738" t="s">
        <v>190</v>
      </c>
      <c r="J249" s="1012">
        <f>ข้อมูลแหล่งราคาวัสดุ!I71</f>
        <v>27.61</v>
      </c>
      <c r="K249" s="976" t="s">
        <v>182</v>
      </c>
      <c r="L249" s="976" t="s">
        <v>992</v>
      </c>
      <c r="M249" s="684"/>
    </row>
    <row r="250" spans="2:13" hidden="1">
      <c r="B250" s="1009"/>
      <c r="C250" s="684" t="s">
        <v>26</v>
      </c>
      <c r="D250" s="684"/>
      <c r="E250" s="684"/>
      <c r="F250" s="684"/>
      <c r="I250" s="738" t="s">
        <v>190</v>
      </c>
      <c r="J250" s="997">
        <f>SUM(J248:J249)</f>
        <v>2843.81</v>
      </c>
      <c r="K250" s="976" t="s">
        <v>182</v>
      </c>
      <c r="L250" s="976" t="s">
        <v>993</v>
      </c>
      <c r="M250" s="684"/>
    </row>
    <row r="251" spans="2:13" hidden="1">
      <c r="B251" s="1009"/>
      <c r="C251" s="684" t="s">
        <v>994</v>
      </c>
      <c r="D251" s="684"/>
      <c r="E251" s="684"/>
      <c r="F251" s="684"/>
      <c r="G251" s="684"/>
      <c r="H251" s="684"/>
      <c r="I251" s="738" t="s">
        <v>190</v>
      </c>
      <c r="J251" s="1067">
        <f>J250*0.0145</f>
        <v>41.235244999999999</v>
      </c>
      <c r="K251" s="976" t="s">
        <v>238</v>
      </c>
      <c r="L251" s="976" t="s">
        <v>995</v>
      </c>
      <c r="M251" s="684"/>
    </row>
    <row r="252" spans="2:13" hidden="1">
      <c r="B252" s="1009"/>
      <c r="C252" s="684" t="s">
        <v>998</v>
      </c>
      <c r="D252" s="684"/>
      <c r="E252" s="684"/>
      <c r="F252" s="684"/>
      <c r="G252" s="684"/>
      <c r="H252" s="684"/>
      <c r="I252" s="738" t="s">
        <v>190</v>
      </c>
      <c r="J252" s="1012">
        <v>0</v>
      </c>
      <c r="K252" s="976" t="s">
        <v>183</v>
      </c>
      <c r="L252" s="976" t="s">
        <v>997</v>
      </c>
      <c r="M252" s="684"/>
    </row>
    <row r="253" spans="2:13" hidden="1">
      <c r="B253" s="1009"/>
      <c r="C253" s="684" t="s">
        <v>999</v>
      </c>
      <c r="D253" s="684"/>
      <c r="E253" s="684"/>
      <c r="F253" s="684"/>
      <c r="G253" s="684"/>
      <c r="H253" s="684"/>
      <c r="I253" s="738" t="s">
        <v>190</v>
      </c>
      <c r="J253" s="1067">
        <f>J252*0.0145</f>
        <v>0</v>
      </c>
      <c r="K253" s="976" t="s">
        <v>238</v>
      </c>
      <c r="L253" s="976" t="s">
        <v>1000</v>
      </c>
      <c r="M253" s="684"/>
    </row>
    <row r="254" spans="2:13" hidden="1">
      <c r="B254" s="1009"/>
      <c r="C254" s="684" t="s">
        <v>26</v>
      </c>
      <c r="D254" s="684"/>
      <c r="E254" s="684"/>
      <c r="F254" s="684"/>
      <c r="G254" s="684"/>
      <c r="H254" s="684"/>
      <c r="I254" s="738" t="s">
        <v>190</v>
      </c>
      <c r="J254" s="1067">
        <f>SUM(J240,J244,J247,J251,J253)</f>
        <v>6424.5950985000009</v>
      </c>
      <c r="K254" s="976" t="s">
        <v>238</v>
      </c>
      <c r="L254" s="976" t="s">
        <v>1001</v>
      </c>
      <c r="M254" s="684"/>
    </row>
    <row r="255" spans="2:13" hidden="1">
      <c r="B255" s="1009"/>
      <c r="C255" s="684" t="s">
        <v>1002</v>
      </c>
      <c r="D255" s="684"/>
      <c r="E255" s="684"/>
      <c r="F255" s="684"/>
      <c r="G255" s="684"/>
      <c r="H255" s="684"/>
      <c r="I255" s="738" t="s">
        <v>190</v>
      </c>
      <c r="J255" s="1012">
        <f>J254/182</f>
        <v>35.299973068681325</v>
      </c>
      <c r="K255" s="976" t="s">
        <v>191</v>
      </c>
      <c r="L255" s="976" t="s">
        <v>1005</v>
      </c>
      <c r="M255" s="684"/>
    </row>
    <row r="256" spans="2:13" hidden="1">
      <c r="B256" s="1009"/>
      <c r="C256" s="684" t="s">
        <v>1003</v>
      </c>
      <c r="D256" s="684"/>
      <c r="E256" s="684"/>
      <c r="F256" s="684"/>
      <c r="G256" s="684"/>
      <c r="H256" s="684"/>
      <c r="I256" s="738" t="s">
        <v>190</v>
      </c>
      <c r="J256" s="1071">
        <f>ค่าดำเนินการ!H74</f>
        <v>11.48</v>
      </c>
      <c r="K256" s="976" t="s">
        <v>191</v>
      </c>
      <c r="L256" s="976" t="s">
        <v>1004</v>
      </c>
      <c r="M256" s="684"/>
    </row>
    <row r="257" spans="2:19" ht="22.5" hidden="1" thickBot="1">
      <c r="B257" s="1009"/>
      <c r="C257" s="684" t="s">
        <v>974</v>
      </c>
      <c r="D257" s="684"/>
      <c r="E257" s="684"/>
      <c r="F257" s="684"/>
      <c r="G257" s="684"/>
      <c r="H257" s="684"/>
      <c r="I257" s="738" t="s">
        <v>190</v>
      </c>
      <c r="J257" s="1025">
        <f>SUM(J255:J256)</f>
        <v>46.779973068681329</v>
      </c>
      <c r="K257" s="976" t="s">
        <v>191</v>
      </c>
      <c r="L257" s="976" t="s">
        <v>1006</v>
      </c>
      <c r="M257" s="684"/>
    </row>
    <row r="258" spans="2:19" ht="23.25" hidden="1" thickTop="1" thickBot="1">
      <c r="B258" s="1009"/>
      <c r="C258" s="684" t="s">
        <v>1007</v>
      </c>
      <c r="D258" s="684"/>
      <c r="E258" s="684"/>
      <c r="F258" s="684"/>
      <c r="G258" s="684"/>
      <c r="H258" s="684"/>
      <c r="I258" s="738" t="s">
        <v>190</v>
      </c>
      <c r="J258" s="1025">
        <f>SUM(J225,J234,J257)</f>
        <v>105.51166026868133</v>
      </c>
      <c r="K258" s="976" t="s">
        <v>191</v>
      </c>
      <c r="L258" s="976" t="s">
        <v>1008</v>
      </c>
      <c r="M258" s="684"/>
    </row>
    <row r="259" spans="2:19" ht="22.5" hidden="1" thickTop="1">
      <c r="B259" s="1009"/>
      <c r="C259" s="684"/>
      <c r="D259" s="684"/>
      <c r="E259" s="684"/>
      <c r="F259" s="684"/>
      <c r="G259" s="684"/>
      <c r="H259" s="684"/>
      <c r="I259" s="738"/>
      <c r="J259" s="1070"/>
      <c r="K259" s="976"/>
      <c r="M259" s="684"/>
    </row>
    <row r="260" spans="2:19" hidden="1">
      <c r="B260" s="1009">
        <f>ปร.4_1!B36</f>
        <v>2.4</v>
      </c>
      <c r="C260" s="1009" t="str">
        <f>ปร.4_1!C36</f>
        <v>งานผิวทางและไหล่ทาง Para Slurry Seal Type 3</v>
      </c>
      <c r="D260" s="684"/>
      <c r="E260" s="684"/>
      <c r="F260" s="684"/>
      <c r="G260" s="684"/>
      <c r="H260" s="684"/>
      <c r="I260" s="738"/>
      <c r="J260" s="1070"/>
      <c r="K260" s="976"/>
      <c r="M260" s="684"/>
    </row>
    <row r="261" spans="2:19" hidden="1">
      <c r="B261" s="1009"/>
      <c r="C261" s="684" t="s">
        <v>1999</v>
      </c>
      <c r="D261" s="684"/>
      <c r="E261" s="684"/>
      <c r="F261" s="684"/>
      <c r="G261" s="684"/>
      <c r="H261" s="684"/>
      <c r="I261" s="738" t="s">
        <v>190</v>
      </c>
      <c r="J261" s="826">
        <f>(ค่าดำเนินการ!G74+(1/108*(1.59+0.0145*J264+1.2155*J262+0.25779*J263+1.85*J265)))</f>
        <v>93.212436763888888</v>
      </c>
      <c r="K261" s="684" t="s">
        <v>763</v>
      </c>
      <c r="M261" s="684"/>
    </row>
    <row r="262" spans="2:19" hidden="1">
      <c r="B262" s="1009"/>
      <c r="C262" s="684" t="s">
        <v>2000</v>
      </c>
      <c r="D262" s="684"/>
      <c r="E262" s="684"/>
      <c r="F262" s="684"/>
      <c r="G262" s="684"/>
      <c r="H262" s="684"/>
      <c r="I262" s="738" t="s">
        <v>190</v>
      </c>
      <c r="J262" s="826">
        <f>(ข้อมูลแหล่งราคาวัสดุ!D21*0.3)+(ข้อมูลแหล่งราคาวัสดุ!D18*0.7)+ข้อมูลแหล่งราคาวัสดุ!I21</f>
        <v>323.25399999999996</v>
      </c>
      <c r="K262" s="684" t="s">
        <v>2002</v>
      </c>
      <c r="M262" s="684"/>
      <c r="O262" s="976" t="s">
        <v>2006</v>
      </c>
    </row>
    <row r="263" spans="2:19" hidden="1">
      <c r="B263" s="1009"/>
      <c r="C263" s="684" t="s">
        <v>2004</v>
      </c>
      <c r="D263" s="684"/>
      <c r="E263" s="684"/>
      <c r="F263" s="684"/>
      <c r="G263" s="684"/>
      <c r="H263" s="684"/>
      <c r="I263" s="738" t="s">
        <v>190</v>
      </c>
      <c r="J263" s="684">
        <f>ข้อมูลแหล่งราคาวัสดุ!D90+ข้อมูลแหล่งราคาวัสดุ!I90</f>
        <v>32738.15</v>
      </c>
      <c r="K263" s="684" t="s">
        <v>751</v>
      </c>
      <c r="M263" s="684"/>
    </row>
    <row r="264" spans="2:19" hidden="1">
      <c r="B264" s="1009"/>
      <c r="C264" s="684" t="s">
        <v>2001</v>
      </c>
      <c r="D264" s="684"/>
      <c r="E264" s="684"/>
      <c r="F264" s="684"/>
      <c r="G264" s="684"/>
      <c r="H264" s="684"/>
      <c r="I264" s="738" t="s">
        <v>190</v>
      </c>
      <c r="J264" s="684">
        <f>ข้อมูลแหล่งราคาวัสดุ!D71+ข้อมูลแหล่งราคาวัสดุ!I71</f>
        <v>2843.81</v>
      </c>
      <c r="K264" s="684" t="s">
        <v>751</v>
      </c>
      <c r="M264" s="684"/>
    </row>
    <row r="265" spans="2:19" hidden="1">
      <c r="B265" s="1009"/>
      <c r="C265" s="684" t="s">
        <v>2005</v>
      </c>
      <c r="D265" s="684"/>
      <c r="E265" s="684"/>
      <c r="F265" s="1040"/>
      <c r="G265" s="1446">
        <f>+ROUND(IF('ปร.5 ท'!$L$12&lt;=4,(1),IF('ปร.5 ท'!$L$12&gt;4,'ปร.5 ท'!$L$12/4)),0)</f>
        <v>1</v>
      </c>
      <c r="H265" s="684" t="s">
        <v>181</v>
      </c>
      <c r="I265" s="1040" t="s">
        <v>190</v>
      </c>
      <c r="J265" s="684">
        <f>IF($G$265&lt;=200,VLOOKUP($G$265,'บรรทุกสิบล้อ+ลากพ่วง'!A9:C208,2),IF($G$265&gt;200,($G$265-200)*'บรรทุกสิบล้อ+ลากพ่วง'!$A$209+'บรรทุกสิบล้อ+ลากพ่วง'!$A$208))</f>
        <v>4.3</v>
      </c>
      <c r="K265" s="684" t="s">
        <v>751</v>
      </c>
      <c r="N265" s="978"/>
      <c r="P265" s="976"/>
      <c r="S265" s="976"/>
    </row>
    <row r="266" spans="2:19" hidden="1">
      <c r="B266" s="1009"/>
      <c r="C266" s="684"/>
      <c r="D266" s="684"/>
      <c r="E266" s="684"/>
      <c r="F266" s="684"/>
      <c r="G266" s="684"/>
      <c r="H266" s="684"/>
      <c r="I266" s="738"/>
      <c r="J266" s="1070"/>
      <c r="K266" s="976"/>
      <c r="M266" s="684"/>
    </row>
    <row r="267" spans="2:19" hidden="1">
      <c r="B267" s="1009"/>
      <c r="C267" s="684"/>
      <c r="D267" s="684"/>
      <c r="E267" s="684"/>
      <c r="F267" s="684"/>
      <c r="G267" s="684"/>
      <c r="H267" s="684"/>
      <c r="I267" s="738"/>
      <c r="J267" s="1070"/>
      <c r="K267" s="976"/>
      <c r="M267" s="684"/>
    </row>
    <row r="268" spans="2:19" hidden="1">
      <c r="B268" s="1009"/>
      <c r="C268" s="684"/>
      <c r="D268" s="684"/>
      <c r="E268" s="684"/>
      <c r="F268" s="684"/>
      <c r="G268" s="684"/>
      <c r="H268" s="684"/>
      <c r="I268" s="738"/>
      <c r="J268" s="1070"/>
      <c r="K268" s="976"/>
      <c r="M268" s="684"/>
    </row>
    <row r="269" spans="2:19" hidden="1">
      <c r="B269" s="1009"/>
      <c r="C269" s="684"/>
      <c r="D269" s="684"/>
      <c r="E269" s="684"/>
      <c r="F269" s="684"/>
      <c r="G269" s="684"/>
      <c r="H269" s="684"/>
      <c r="I269" s="738"/>
      <c r="J269" s="1070"/>
      <c r="K269" s="976"/>
      <c r="M269" s="684"/>
    </row>
    <row r="270" spans="2:19" hidden="1">
      <c r="B270" s="1009"/>
      <c r="C270" s="684"/>
      <c r="D270" s="684"/>
      <c r="E270" s="684"/>
      <c r="F270" s="684"/>
      <c r="G270" s="684"/>
      <c r="H270" s="684"/>
      <c r="I270" s="738"/>
      <c r="J270" s="1070"/>
      <c r="K270" s="976"/>
      <c r="M270" s="684"/>
    </row>
    <row r="271" spans="2:19" hidden="1">
      <c r="B271" s="1009"/>
      <c r="C271" s="684"/>
      <c r="D271" s="684"/>
      <c r="E271" s="684"/>
      <c r="F271" s="684"/>
      <c r="G271" s="684"/>
      <c r="H271" s="684"/>
      <c r="I271" s="738"/>
      <c r="J271" s="1070"/>
      <c r="K271" s="976"/>
      <c r="M271" s="684"/>
    </row>
    <row r="272" spans="2:19" hidden="1">
      <c r="B272" s="1003">
        <f>ปร.4_1!B37</f>
        <v>2.2000000000000002</v>
      </c>
      <c r="C272" s="1002" t="str">
        <f>ปร.4_1!C37</f>
        <v xml:space="preserve">งานผิวทางและไหล่ทาง  Para Asphaltic concrete  </v>
      </c>
    </row>
    <row r="273" spans="2:14" hidden="1">
      <c r="B273" s="1072" t="str">
        <f>ปร.4_1!C38</f>
        <v>2.5.1</v>
      </c>
      <c r="C273" s="1034" t="str">
        <f>ปร.4_1!D38</f>
        <v xml:space="preserve">งานผิวทางและไหล่ทางพาราแอสฟัลติกคอนกรีตชั้น  Wearing Course                                     </v>
      </c>
      <c r="D273" s="1034"/>
      <c r="E273" s="976"/>
      <c r="F273" s="1037"/>
      <c r="G273" s="738"/>
      <c r="H273" s="745"/>
      <c r="I273" s="976"/>
      <c r="J273" s="976"/>
      <c r="K273" s="976"/>
    </row>
    <row r="274" spans="2:14" hidden="1">
      <c r="B274" s="1073"/>
      <c r="C274" s="1074" t="s">
        <v>1009</v>
      </c>
      <c r="D274" s="1075">
        <f>ปร.4_1!E39</f>
        <v>5</v>
      </c>
      <c r="E274" s="1076" t="s">
        <v>1010</v>
      </c>
      <c r="F274" s="1077"/>
      <c r="G274" s="1078"/>
      <c r="H274" s="745"/>
      <c r="I274" s="976"/>
      <c r="J274" s="976"/>
      <c r="K274" s="976"/>
    </row>
    <row r="275" spans="2:14" hidden="1">
      <c r="B275" s="976"/>
      <c r="C275" s="1027" t="s">
        <v>1946</v>
      </c>
      <c r="D275" s="1027"/>
      <c r="E275" s="747"/>
      <c r="F275" s="742"/>
      <c r="G275" s="738"/>
      <c r="H275" s="976"/>
      <c r="I275" s="747" t="s">
        <v>190</v>
      </c>
      <c r="J275" s="997">
        <f>ปร.4_1!K38*(D274/100)</f>
        <v>0</v>
      </c>
      <c r="K275" s="759" t="s">
        <v>6</v>
      </c>
      <c r="L275" s="1079" t="s">
        <v>193</v>
      </c>
      <c r="M275" s="1079"/>
      <c r="N275" s="1079"/>
    </row>
    <row r="276" spans="2:14" hidden="1">
      <c r="B276" s="976"/>
      <c r="C276" s="1027"/>
      <c r="D276" s="1027"/>
      <c r="E276" s="747"/>
      <c r="F276" s="742"/>
      <c r="G276" s="738"/>
      <c r="H276" s="976"/>
      <c r="I276" s="747" t="s">
        <v>190</v>
      </c>
      <c r="J276" s="997">
        <f>J275*2.4</f>
        <v>0</v>
      </c>
      <c r="K276" s="759" t="s">
        <v>92</v>
      </c>
      <c r="L276" s="1079" t="s">
        <v>550</v>
      </c>
      <c r="M276" s="1079"/>
      <c r="N276" s="1079"/>
    </row>
    <row r="277" spans="2:14" hidden="1">
      <c r="B277" s="976"/>
      <c r="C277" s="1029" t="s">
        <v>1947</v>
      </c>
      <c r="D277" s="1027"/>
      <c r="E277" s="747"/>
      <c r="F277" s="742"/>
      <c r="G277" s="747"/>
      <c r="H277" s="976"/>
      <c r="I277" s="747" t="s">
        <v>190</v>
      </c>
      <c r="J277" s="997">
        <f>IF(J276&lt;10000,10000,J276)</f>
        <v>10000</v>
      </c>
      <c r="K277" s="759" t="s">
        <v>92</v>
      </c>
      <c r="L277" s="1079" t="s">
        <v>552</v>
      </c>
      <c r="M277" s="1079"/>
      <c r="N277" s="1079"/>
    </row>
    <row r="278" spans="2:14" hidden="1">
      <c r="B278" s="976"/>
      <c r="C278" s="1029" t="s">
        <v>553</v>
      </c>
      <c r="D278" s="1027"/>
      <c r="E278" s="747"/>
      <c r="F278" s="742"/>
      <c r="G278" s="747"/>
      <c r="H278" s="976"/>
      <c r="I278" s="747"/>
      <c r="K278" s="759"/>
      <c r="L278" s="1079"/>
      <c r="M278" s="1079"/>
      <c r="N278" s="1079"/>
    </row>
    <row r="279" spans="2:14" hidden="1">
      <c r="B279" s="976"/>
      <c r="C279" s="1027" t="s">
        <v>554</v>
      </c>
      <c r="D279" s="1027"/>
      <c r="E279" s="1027"/>
      <c r="F279" s="747"/>
      <c r="G279" s="747" t="s">
        <v>555</v>
      </c>
      <c r="H279" s="976"/>
      <c r="I279" s="747" t="s">
        <v>190</v>
      </c>
      <c r="J279" s="997">
        <f>250000/J277</f>
        <v>25</v>
      </c>
      <c r="K279" s="759" t="s">
        <v>556</v>
      </c>
      <c r="L279" s="1079" t="s">
        <v>557</v>
      </c>
      <c r="M279" s="1079"/>
      <c r="N279" s="1079"/>
    </row>
    <row r="280" spans="2:14" hidden="1">
      <c r="B280" s="976"/>
      <c r="C280" s="976"/>
      <c r="D280" s="976"/>
      <c r="E280" s="976"/>
      <c r="F280" s="976"/>
      <c r="G280" s="738"/>
      <c r="H280" s="976"/>
      <c r="I280" s="976"/>
      <c r="K280" s="1027"/>
      <c r="L280" s="1079" t="s">
        <v>192</v>
      </c>
      <c r="M280" s="1079"/>
      <c r="N280" s="1079"/>
    </row>
    <row r="281" spans="2:14" hidden="1">
      <c r="B281" s="976"/>
      <c r="C281" s="1029" t="s">
        <v>1948</v>
      </c>
      <c r="D281" s="1027"/>
      <c r="E281" s="747"/>
      <c r="F281" s="1027"/>
      <c r="G281" s="738"/>
      <c r="H281" s="1027"/>
      <c r="I281" s="747" t="s">
        <v>190</v>
      </c>
      <c r="J281" s="997">
        <f>J277</f>
        <v>10000</v>
      </c>
      <c r="K281" s="759" t="s">
        <v>92</v>
      </c>
      <c r="L281" s="1079" t="s">
        <v>558</v>
      </c>
      <c r="M281" s="1079"/>
      <c r="N281" s="1079"/>
    </row>
    <row r="282" spans="2:14" hidden="1">
      <c r="B282" s="976"/>
      <c r="C282" s="1027" t="s">
        <v>1949</v>
      </c>
      <c r="D282" s="1027"/>
      <c r="E282" s="747"/>
      <c r="F282" s="1027"/>
      <c r="G282" s="738"/>
      <c r="H282" s="1027"/>
      <c r="I282" s="747" t="s">
        <v>190</v>
      </c>
      <c r="J282" s="1014">
        <f>IF(D274=0,0,VLOOKUP(D274,ตารางที่_3,3))</f>
        <v>8.33</v>
      </c>
      <c r="K282" s="759" t="s">
        <v>7</v>
      </c>
      <c r="L282" s="1079" t="s">
        <v>559</v>
      </c>
      <c r="M282" s="1079"/>
      <c r="N282" s="1079"/>
    </row>
    <row r="283" spans="2:14" hidden="1">
      <c r="B283" s="976"/>
      <c r="C283" s="1027" t="s">
        <v>1950</v>
      </c>
      <c r="D283" s="1027"/>
      <c r="E283" s="976"/>
      <c r="F283" s="976"/>
      <c r="G283" s="1080">
        <v>100</v>
      </c>
      <c r="H283" s="747" t="s">
        <v>181</v>
      </c>
      <c r="I283" s="747" t="s">
        <v>190</v>
      </c>
      <c r="J283" s="1014">
        <f>'บรรทุกสิบล้อ+ลากพ่วง'!B108</f>
        <v>135.6</v>
      </c>
      <c r="K283" s="759" t="s">
        <v>560</v>
      </c>
      <c r="L283" s="1079" t="s">
        <v>561</v>
      </c>
      <c r="M283" s="1079"/>
      <c r="N283" s="1079"/>
    </row>
    <row r="284" spans="2:14" hidden="1">
      <c r="B284" s="976"/>
      <c r="C284" s="1027" t="s">
        <v>562</v>
      </c>
      <c r="D284" s="1027"/>
      <c r="E284" s="747"/>
      <c r="F284" s="1027"/>
      <c r="G284" s="747"/>
      <c r="H284" s="1027"/>
      <c r="I284" s="747" t="s">
        <v>190</v>
      </c>
      <c r="J284" s="997">
        <f>J283*80/J281</f>
        <v>1.0848</v>
      </c>
      <c r="K284" s="759" t="s">
        <v>556</v>
      </c>
      <c r="L284" s="1079" t="s">
        <v>563</v>
      </c>
      <c r="M284" s="1079"/>
      <c r="N284" s="1079"/>
    </row>
    <row r="285" spans="2:14" hidden="1">
      <c r="B285" s="976"/>
      <c r="C285" s="1027" t="s">
        <v>564</v>
      </c>
      <c r="D285" s="1027"/>
      <c r="E285" s="1027"/>
      <c r="F285" s="747"/>
      <c r="G285" s="738"/>
      <c r="H285" s="1027"/>
      <c r="I285" s="747" t="s">
        <v>190</v>
      </c>
      <c r="J285" s="997">
        <f>J279</f>
        <v>25</v>
      </c>
      <c r="K285" s="759" t="s">
        <v>556</v>
      </c>
      <c r="L285" s="1079" t="s">
        <v>565</v>
      </c>
      <c r="M285" s="1079"/>
      <c r="N285" s="1079"/>
    </row>
    <row r="286" spans="2:14" hidden="1">
      <c r="B286" s="976"/>
      <c r="C286" s="1027" t="s">
        <v>1952</v>
      </c>
      <c r="D286" s="1027"/>
      <c r="E286" s="1027"/>
      <c r="F286" s="747"/>
      <c r="G286" s="738"/>
      <c r="H286" s="1027"/>
      <c r="I286" s="747" t="s">
        <v>190</v>
      </c>
      <c r="J286" s="997">
        <f>ข้อมูลแหล่งราคาวัสดุ!D85</f>
        <v>27100</v>
      </c>
      <c r="K286" s="759" t="s">
        <v>566</v>
      </c>
      <c r="L286" s="1079" t="s">
        <v>379</v>
      </c>
      <c r="M286" s="1079"/>
      <c r="N286" s="1079"/>
    </row>
    <row r="287" spans="2:14" hidden="1">
      <c r="B287" s="976"/>
      <c r="C287" s="1027" t="s">
        <v>1953</v>
      </c>
      <c r="D287" s="1027"/>
      <c r="E287" s="976"/>
      <c r="F287" s="976"/>
      <c r="G287" s="1081">
        <f>ข้อมูลแหล่งราคาวัสดุ!E85</f>
        <v>250</v>
      </c>
      <c r="H287" s="747" t="s">
        <v>181</v>
      </c>
      <c r="I287" s="747" t="s">
        <v>190</v>
      </c>
      <c r="J287" s="997">
        <f>ข้อมูลแหล่งราคาวัสดุ!I85</f>
        <v>338.15</v>
      </c>
      <c r="K287" s="759" t="s">
        <v>566</v>
      </c>
      <c r="L287" s="1079" t="s">
        <v>567</v>
      </c>
      <c r="M287" s="1079"/>
      <c r="N287" s="1079"/>
    </row>
    <row r="288" spans="2:14" hidden="1">
      <c r="B288" s="976"/>
      <c r="C288" s="1027" t="s">
        <v>1954</v>
      </c>
      <c r="D288" s="1027"/>
      <c r="E288" s="1027"/>
      <c r="F288" s="747"/>
      <c r="G288" s="738"/>
      <c r="H288" s="1027"/>
      <c r="I288" s="747" t="s">
        <v>190</v>
      </c>
      <c r="J288" s="997">
        <f>ROUND((J286+J287)*0.052,2)</f>
        <v>1426.78</v>
      </c>
      <c r="K288" s="759" t="s">
        <v>556</v>
      </c>
      <c r="L288" s="1079" t="s">
        <v>568</v>
      </c>
      <c r="M288" s="1079"/>
      <c r="N288" s="1079"/>
    </row>
    <row r="289" spans="2:14" hidden="1">
      <c r="B289" s="976"/>
      <c r="C289" s="1027" t="s">
        <v>569</v>
      </c>
      <c r="D289" s="1027"/>
      <c r="E289" s="1027"/>
      <c r="F289" s="747"/>
      <c r="G289" s="738"/>
      <c r="H289" s="1027"/>
      <c r="I289" s="747" t="s">
        <v>190</v>
      </c>
      <c r="J289" s="997">
        <f>ข้อมูลแหล่งราคาวัสดุ!D24</f>
        <v>284</v>
      </c>
      <c r="K289" s="759" t="s">
        <v>183</v>
      </c>
      <c r="L289" s="1079" t="s">
        <v>380</v>
      </c>
      <c r="M289" s="1079"/>
      <c r="N289" s="1079"/>
    </row>
    <row r="290" spans="2:14" hidden="1">
      <c r="B290" s="976"/>
      <c r="C290" s="1027" t="s">
        <v>570</v>
      </c>
      <c r="D290" s="1027"/>
      <c r="E290" s="1027"/>
      <c r="F290" s="747"/>
      <c r="G290" s="738"/>
      <c r="H290" s="976"/>
      <c r="I290" s="1027"/>
      <c r="J290" s="1070"/>
      <c r="K290" s="759"/>
      <c r="L290" s="1079"/>
      <c r="M290" s="1079"/>
      <c r="N290" s="1079"/>
    </row>
    <row r="291" spans="2:14" hidden="1">
      <c r="B291" s="976"/>
      <c r="C291" s="1027" t="s">
        <v>571</v>
      </c>
      <c r="D291" s="1027"/>
      <c r="E291" s="976"/>
      <c r="F291" s="976"/>
      <c r="G291" s="738">
        <f>ข้อมูลแหล่งราคาวัสดุ!E24</f>
        <v>20</v>
      </c>
      <c r="H291" s="747" t="s">
        <v>181</v>
      </c>
      <c r="I291" s="747" t="s">
        <v>190</v>
      </c>
      <c r="J291" s="997">
        <f>ข้อมูลแหล่งราคาวัสดุ!I24</f>
        <v>63.44</v>
      </c>
      <c r="K291" s="759" t="s">
        <v>183</v>
      </c>
      <c r="L291" s="1079" t="s">
        <v>572</v>
      </c>
      <c r="M291" s="1079"/>
      <c r="N291" s="1079"/>
    </row>
    <row r="292" spans="2:14" hidden="1">
      <c r="B292" s="976"/>
      <c r="C292" s="759" t="s">
        <v>573</v>
      </c>
      <c r="D292" s="1027"/>
      <c r="E292" s="747"/>
      <c r="F292" s="976"/>
      <c r="G292" s="738"/>
      <c r="H292" s="1027"/>
      <c r="I292" s="747" t="s">
        <v>190</v>
      </c>
      <c r="J292" s="997">
        <f>J289+J291</f>
        <v>347.44</v>
      </c>
      <c r="K292" s="759" t="s">
        <v>183</v>
      </c>
      <c r="L292" s="1079" t="s">
        <v>574</v>
      </c>
      <c r="M292" s="1079"/>
      <c r="N292" s="1079"/>
    </row>
    <row r="293" spans="2:14" hidden="1">
      <c r="B293" s="976"/>
      <c r="C293" s="1027" t="s">
        <v>575</v>
      </c>
      <c r="D293" s="976"/>
      <c r="E293" s="976"/>
      <c r="F293" s="976" t="s">
        <v>576</v>
      </c>
      <c r="G293" s="747" t="s">
        <v>203</v>
      </c>
      <c r="H293" s="747">
        <v>0.74</v>
      </c>
      <c r="I293" s="747" t="s">
        <v>190</v>
      </c>
      <c r="J293" s="997">
        <f>J292*H293</f>
        <v>257.10559999999998</v>
      </c>
      <c r="K293" s="759" t="s">
        <v>556</v>
      </c>
      <c r="L293" s="1079" t="s">
        <v>577</v>
      </c>
      <c r="M293" s="1079"/>
      <c r="N293" s="1079"/>
    </row>
    <row r="294" spans="2:14" hidden="1">
      <c r="B294" s="976"/>
      <c r="C294" s="1027" t="s">
        <v>578</v>
      </c>
      <c r="D294" s="1027"/>
      <c r="E294" s="747"/>
      <c r="F294" s="976"/>
      <c r="G294" s="738"/>
      <c r="H294" s="1027"/>
      <c r="I294" s="747" t="s">
        <v>190</v>
      </c>
      <c r="J294" s="997">
        <f>ค่าดำเนินการ!H49*1.1</f>
        <v>331.24299999999999</v>
      </c>
      <c r="K294" s="1082" t="s">
        <v>795</v>
      </c>
      <c r="L294" s="1079" t="s">
        <v>580</v>
      </c>
      <c r="M294" s="1079"/>
      <c r="N294" s="1079"/>
    </row>
    <row r="295" spans="2:14" hidden="1">
      <c r="B295" s="976"/>
      <c r="C295" s="1027" t="s">
        <v>1955</v>
      </c>
      <c r="D295" s="1027"/>
      <c r="E295" s="976"/>
      <c r="F295" s="976"/>
      <c r="G295" s="747">
        <f>IF(ปร.4_1!D4/4&lt;1,1,INT(ปร.4_1!D4/4))</f>
        <v>1</v>
      </c>
      <c r="H295" s="747" t="s">
        <v>181</v>
      </c>
      <c r="I295" s="747" t="s">
        <v>190</v>
      </c>
      <c r="J295" s="997">
        <f>VLOOKUP(G295,บรรทุกสิบล้อ!A9:C13,2)</f>
        <v>7.85</v>
      </c>
      <c r="K295" s="759" t="s">
        <v>556</v>
      </c>
      <c r="L295" s="1079" t="s">
        <v>581</v>
      </c>
      <c r="M295" s="1079"/>
      <c r="N295" s="1079"/>
    </row>
    <row r="296" spans="2:14" hidden="1">
      <c r="B296" s="976"/>
      <c r="C296" s="1027" t="s">
        <v>582</v>
      </c>
      <c r="D296" s="747"/>
      <c r="E296" s="747"/>
      <c r="F296" s="976"/>
      <c r="G296" s="738"/>
      <c r="H296" s="1027"/>
      <c r="I296" s="747" t="s">
        <v>190</v>
      </c>
      <c r="J296" s="1014">
        <f>IF(D274=0,0,VLOOKUP(D274,ตารางที่_3,2))</f>
        <v>1</v>
      </c>
      <c r="K296" s="759"/>
      <c r="L296" s="1079" t="s">
        <v>583</v>
      </c>
      <c r="M296" s="1079"/>
      <c r="N296" s="1079"/>
    </row>
    <row r="297" spans="2:14" hidden="1">
      <c r="B297" s="976"/>
      <c r="C297" s="1027" t="s">
        <v>584</v>
      </c>
      <c r="D297" s="1027"/>
      <c r="E297" s="976"/>
      <c r="F297" s="976"/>
      <c r="G297" s="1041">
        <f>D274</f>
        <v>5</v>
      </c>
      <c r="H297" s="747" t="s">
        <v>585</v>
      </c>
      <c r="I297" s="747" t="s">
        <v>190</v>
      </c>
      <c r="J297" s="1014">
        <f>ค่าดำเนินการ!H53*J296</f>
        <v>14.41</v>
      </c>
      <c r="K297" s="759" t="s">
        <v>191</v>
      </c>
      <c r="L297" s="1079" t="s">
        <v>586</v>
      </c>
      <c r="M297" s="1079"/>
      <c r="N297" s="1079"/>
    </row>
    <row r="298" spans="2:14" hidden="1">
      <c r="B298" s="976"/>
      <c r="C298" s="1027"/>
      <c r="D298" s="1027"/>
      <c r="E298" s="747"/>
      <c r="F298" s="759" t="s">
        <v>796</v>
      </c>
      <c r="G298" s="738"/>
      <c r="H298" s="742"/>
      <c r="I298" s="747" t="s">
        <v>190</v>
      </c>
      <c r="J298" s="997">
        <f>J282*J296*J297*1.1</f>
        <v>132.03883000000002</v>
      </c>
      <c r="K298" s="759" t="s">
        <v>556</v>
      </c>
      <c r="L298" s="1079" t="s">
        <v>587</v>
      </c>
      <c r="M298" s="1079"/>
      <c r="N298" s="1079"/>
    </row>
    <row r="299" spans="2:14" hidden="1">
      <c r="B299" s="976"/>
      <c r="C299" s="1027" t="s">
        <v>233</v>
      </c>
      <c r="D299" s="1027"/>
      <c r="E299" s="747"/>
      <c r="F299" s="976"/>
      <c r="G299" s="738"/>
      <c r="H299" s="742"/>
      <c r="I299" s="747" t="s">
        <v>190</v>
      </c>
      <c r="J299" s="1067">
        <f>J284+J285+J288+J293+J294+J295+J298</f>
        <v>2181.10223</v>
      </c>
      <c r="K299" s="759" t="s">
        <v>556</v>
      </c>
      <c r="L299" s="1079" t="s">
        <v>588</v>
      </c>
      <c r="M299" s="1079"/>
      <c r="N299" s="1079"/>
    </row>
    <row r="300" spans="2:14" ht="22.5" hidden="1" thickBot="1">
      <c r="B300" s="976"/>
      <c r="C300" s="976" t="s">
        <v>195</v>
      </c>
      <c r="D300" s="1027"/>
      <c r="E300" s="747"/>
      <c r="F300" s="759" t="s">
        <v>797</v>
      </c>
      <c r="G300" s="747"/>
      <c r="H300" s="1083"/>
      <c r="I300" s="747" t="s">
        <v>190</v>
      </c>
      <c r="J300" s="1025">
        <f>IF(D274=0,0,ROUNDDOWN(J299/J282,2))</f>
        <v>261.83</v>
      </c>
      <c r="K300" s="759" t="s">
        <v>191</v>
      </c>
      <c r="L300" s="1079" t="s">
        <v>589</v>
      </c>
      <c r="M300" s="1079"/>
      <c r="N300" s="1079"/>
    </row>
    <row r="301" spans="2:14" ht="22.5" hidden="1" thickTop="1">
      <c r="B301" s="1003"/>
      <c r="C301" s="1002"/>
    </row>
    <row r="302" spans="2:14" hidden="1">
      <c r="B302" s="1003" t="str">
        <f>ปร.4_1!C40</f>
        <v>2.5.2</v>
      </c>
      <c r="C302" s="1002" t="str">
        <f>ปร.4_1!D40</f>
        <v xml:space="preserve">งานผิวทางและไหล่ทางพาราแอสฟัลติกคอนกรีตชั้น  Wearing Course                                     </v>
      </c>
    </row>
    <row r="303" spans="2:14" hidden="1">
      <c r="C303" s="1074" t="s">
        <v>1009</v>
      </c>
      <c r="D303" s="1075">
        <f>ปร.4_1!E41</f>
        <v>5</v>
      </c>
      <c r="E303" s="1076" t="s">
        <v>1011</v>
      </c>
      <c r="F303" s="1077"/>
      <c r="G303" s="1078"/>
      <c r="H303" s="976"/>
      <c r="I303" s="976"/>
      <c r="J303" s="976"/>
      <c r="K303" s="976"/>
    </row>
    <row r="304" spans="2:14" hidden="1">
      <c r="B304" s="976"/>
      <c r="C304" s="1027" t="s">
        <v>549</v>
      </c>
      <c r="D304" s="1084"/>
      <c r="E304" s="747"/>
      <c r="F304" s="742"/>
      <c r="G304" s="738"/>
      <c r="H304" s="976"/>
      <c r="I304" s="747" t="s">
        <v>190</v>
      </c>
      <c r="J304" s="997">
        <f>ปร.4_1!K40*(D303/100)</f>
        <v>0</v>
      </c>
      <c r="K304" s="759" t="s">
        <v>6</v>
      </c>
      <c r="L304" s="1079" t="s">
        <v>193</v>
      </c>
      <c r="M304" s="1027"/>
    </row>
    <row r="305" spans="2:13" hidden="1">
      <c r="B305" s="976"/>
      <c r="C305" s="1027"/>
      <c r="D305" s="1084"/>
      <c r="E305" s="747"/>
      <c r="F305" s="742"/>
      <c r="G305" s="738"/>
      <c r="H305" s="976"/>
      <c r="I305" s="747" t="s">
        <v>190</v>
      </c>
      <c r="J305" s="997">
        <f>J304*2.4</f>
        <v>0</v>
      </c>
      <c r="K305" s="759" t="s">
        <v>92</v>
      </c>
      <c r="L305" s="1079" t="s">
        <v>550</v>
      </c>
      <c r="M305" s="1027"/>
    </row>
    <row r="306" spans="2:13" hidden="1">
      <c r="B306" s="976"/>
      <c r="C306" s="1029" t="s">
        <v>551</v>
      </c>
      <c r="D306" s="1084"/>
      <c r="E306" s="747"/>
      <c r="F306" s="742"/>
      <c r="G306" s="747"/>
      <c r="H306" s="976"/>
      <c r="I306" s="747" t="s">
        <v>190</v>
      </c>
      <c r="J306" s="997">
        <f>IF(J305&lt;10000,10000,J305)</f>
        <v>10000</v>
      </c>
      <c r="K306" s="759" t="s">
        <v>92</v>
      </c>
      <c r="L306" s="1079" t="s">
        <v>552</v>
      </c>
      <c r="M306" s="1027"/>
    </row>
    <row r="307" spans="2:13" hidden="1">
      <c r="B307" s="976"/>
      <c r="C307" s="1029" t="s">
        <v>553</v>
      </c>
      <c r="D307" s="1084"/>
      <c r="E307" s="747"/>
      <c r="F307" s="742"/>
      <c r="G307" s="747"/>
      <c r="H307" s="976"/>
      <c r="I307" s="747"/>
      <c r="K307" s="759"/>
      <c r="L307" s="1004"/>
      <c r="M307" s="1027"/>
    </row>
    <row r="308" spans="2:13" hidden="1">
      <c r="B308" s="976"/>
      <c r="C308" s="1027" t="s">
        <v>554</v>
      </c>
      <c r="D308" s="1084"/>
      <c r="E308" s="1027"/>
      <c r="F308" s="747"/>
      <c r="G308" s="747" t="s">
        <v>555</v>
      </c>
      <c r="H308" s="976"/>
      <c r="I308" s="747" t="s">
        <v>190</v>
      </c>
      <c r="J308" s="997">
        <f>250000/J306</f>
        <v>25</v>
      </c>
      <c r="K308" s="759" t="s">
        <v>556</v>
      </c>
      <c r="L308" s="1079" t="s">
        <v>557</v>
      </c>
      <c r="M308" s="1027"/>
    </row>
    <row r="309" spans="2:13" hidden="1">
      <c r="B309" s="976"/>
      <c r="C309" s="976"/>
      <c r="E309" s="976"/>
      <c r="F309" s="976"/>
      <c r="G309" s="738"/>
      <c r="H309" s="976"/>
      <c r="I309" s="976"/>
      <c r="K309" s="1027"/>
      <c r="L309" s="1004"/>
      <c r="M309" s="1079" t="s">
        <v>192</v>
      </c>
    </row>
    <row r="310" spans="2:13" hidden="1">
      <c r="B310" s="976"/>
      <c r="C310" s="1029" t="s">
        <v>1948</v>
      </c>
      <c r="D310" s="1084"/>
      <c r="E310" s="747"/>
      <c r="F310" s="1027"/>
      <c r="G310" s="738"/>
      <c r="H310" s="1027"/>
      <c r="I310" s="747" t="s">
        <v>190</v>
      </c>
      <c r="J310" s="997">
        <f>J306</f>
        <v>10000</v>
      </c>
      <c r="K310" s="759" t="s">
        <v>92</v>
      </c>
      <c r="L310" s="1079" t="s">
        <v>558</v>
      </c>
      <c r="M310" s="1004"/>
    </row>
    <row r="311" spans="2:13" hidden="1">
      <c r="B311" s="976"/>
      <c r="C311" s="1027" t="s">
        <v>1949</v>
      </c>
      <c r="D311" s="1084"/>
      <c r="E311" s="747"/>
      <c r="F311" s="1027"/>
      <c r="G311" s="738"/>
      <c r="H311" s="1027"/>
      <c r="I311" s="747" t="s">
        <v>190</v>
      </c>
      <c r="J311" s="1014">
        <f>IF(D303=0,0,VLOOKUP(D303,ตารางที่_3,3))</f>
        <v>8.33</v>
      </c>
      <c r="K311" s="759" t="s">
        <v>7</v>
      </c>
      <c r="L311" s="1079" t="s">
        <v>559</v>
      </c>
      <c r="M311" s="1004"/>
    </row>
    <row r="312" spans="2:13" hidden="1">
      <c r="B312" s="976"/>
      <c r="C312" s="1027" t="s">
        <v>1950</v>
      </c>
      <c r="D312" s="1084"/>
      <c r="E312" s="976"/>
      <c r="F312" s="976"/>
      <c r="G312" s="1080">
        <v>100</v>
      </c>
      <c r="H312" s="747" t="s">
        <v>181</v>
      </c>
      <c r="I312" s="747" t="s">
        <v>190</v>
      </c>
      <c r="J312" s="1014">
        <f>'บรรทุกสิบล้อ+ลากพ่วง'!B108</f>
        <v>135.6</v>
      </c>
      <c r="K312" s="759" t="s">
        <v>560</v>
      </c>
      <c r="L312" s="1079" t="s">
        <v>561</v>
      </c>
      <c r="M312" s="1004"/>
    </row>
    <row r="313" spans="2:13" hidden="1">
      <c r="B313" s="976"/>
      <c r="C313" s="1027" t="s">
        <v>562</v>
      </c>
      <c r="D313" s="1084"/>
      <c r="E313" s="747"/>
      <c r="F313" s="1027"/>
      <c r="G313" s="747"/>
      <c r="H313" s="1027"/>
      <c r="I313" s="747" t="s">
        <v>190</v>
      </c>
      <c r="J313" s="997">
        <f>J312*80/J310</f>
        <v>1.0848</v>
      </c>
      <c r="K313" s="759" t="s">
        <v>556</v>
      </c>
      <c r="L313" s="1079" t="s">
        <v>563</v>
      </c>
      <c r="M313" s="1004"/>
    </row>
    <row r="314" spans="2:13" hidden="1">
      <c r="B314" s="976"/>
      <c r="C314" s="1027" t="s">
        <v>564</v>
      </c>
      <c r="D314" s="1084"/>
      <c r="E314" s="1027"/>
      <c r="F314" s="747"/>
      <c r="G314" s="738"/>
      <c r="H314" s="1027"/>
      <c r="I314" s="747" t="s">
        <v>190</v>
      </c>
      <c r="J314" s="997">
        <f>J308</f>
        <v>25</v>
      </c>
      <c r="K314" s="759" t="s">
        <v>556</v>
      </c>
      <c r="L314" s="1079" t="s">
        <v>565</v>
      </c>
      <c r="M314" s="1004"/>
    </row>
    <row r="315" spans="2:13" hidden="1">
      <c r="B315" s="976"/>
      <c r="C315" s="1027" t="s">
        <v>1956</v>
      </c>
      <c r="D315" s="1084"/>
      <c r="E315" s="1027"/>
      <c r="F315" s="747"/>
      <c r="G315" s="738"/>
      <c r="H315" s="1027"/>
      <c r="I315" s="747" t="s">
        <v>190</v>
      </c>
      <c r="J315" s="997">
        <f>ข้อมูลแหล่งราคาวัสดุ!D85</f>
        <v>27100</v>
      </c>
      <c r="K315" s="759" t="s">
        <v>566</v>
      </c>
      <c r="L315" s="1079" t="s">
        <v>379</v>
      </c>
      <c r="M315" s="1004"/>
    </row>
    <row r="316" spans="2:13" hidden="1">
      <c r="B316" s="976"/>
      <c r="C316" s="1027" t="s">
        <v>1953</v>
      </c>
      <c r="D316" s="1084"/>
      <c r="E316" s="976"/>
      <c r="F316" s="976"/>
      <c r="G316" s="1081">
        <f>ข้อมูลแหล่งราคาวัสดุ!E85</f>
        <v>250</v>
      </c>
      <c r="H316" s="747" t="s">
        <v>181</v>
      </c>
      <c r="I316" s="747" t="s">
        <v>190</v>
      </c>
      <c r="J316" s="997">
        <f>ข้อมูลแหล่งราคาวัสดุ!I85</f>
        <v>338.15</v>
      </c>
      <c r="K316" s="759" t="s">
        <v>566</v>
      </c>
      <c r="L316" s="1079" t="s">
        <v>567</v>
      </c>
    </row>
    <row r="317" spans="2:13" hidden="1">
      <c r="B317" s="976"/>
      <c r="C317" s="1027" t="s">
        <v>1954</v>
      </c>
      <c r="D317" s="1084"/>
      <c r="E317" s="1027"/>
      <c r="F317" s="747"/>
      <c r="G317" s="738"/>
      <c r="H317" s="1027"/>
      <c r="I317" s="747" t="s">
        <v>190</v>
      </c>
      <c r="J317" s="997">
        <f>ROUND((J315+J316)*0.052,2)</f>
        <v>1426.78</v>
      </c>
      <c r="K317" s="759" t="s">
        <v>556</v>
      </c>
      <c r="L317" s="1079" t="s">
        <v>568</v>
      </c>
    </row>
    <row r="318" spans="2:13" hidden="1">
      <c r="B318" s="976"/>
      <c r="C318" s="1027" t="s">
        <v>569</v>
      </c>
      <c r="D318" s="1084"/>
      <c r="E318" s="1027"/>
      <c r="F318" s="747"/>
      <c r="G318" s="738"/>
      <c r="H318" s="1027"/>
      <c r="I318" s="747" t="s">
        <v>190</v>
      </c>
      <c r="J318" s="997">
        <f>ข้อมูลแหล่งราคาวัสดุ!D24</f>
        <v>284</v>
      </c>
      <c r="K318" s="759" t="s">
        <v>183</v>
      </c>
      <c r="L318" s="1079" t="s">
        <v>380</v>
      </c>
      <c r="M318" s="1004"/>
    </row>
    <row r="319" spans="2:13" hidden="1">
      <c r="B319" s="976"/>
      <c r="C319" s="1027" t="s">
        <v>570</v>
      </c>
      <c r="D319" s="1084"/>
      <c r="E319" s="1027"/>
      <c r="F319" s="747"/>
      <c r="G319" s="738"/>
      <c r="H319" s="1027"/>
      <c r="I319" s="747"/>
      <c r="K319" s="759"/>
      <c r="L319" s="1079"/>
      <c r="M319" s="1004"/>
    </row>
    <row r="320" spans="2:13" hidden="1">
      <c r="B320" s="976"/>
      <c r="C320" s="1027" t="s">
        <v>571</v>
      </c>
      <c r="D320" s="1084"/>
      <c r="E320" s="976"/>
      <c r="F320" s="976"/>
      <c r="G320" s="1081">
        <f>ข้อมูลแหล่งราคาวัสดุ!E24</f>
        <v>20</v>
      </c>
      <c r="H320" s="747" t="s">
        <v>181</v>
      </c>
      <c r="I320" s="747" t="s">
        <v>190</v>
      </c>
      <c r="J320" s="997">
        <f>ข้อมูลแหล่งราคาวัสดุ!I24</f>
        <v>63.44</v>
      </c>
      <c r="K320" s="759" t="s">
        <v>183</v>
      </c>
      <c r="L320" s="1079" t="s">
        <v>572</v>
      </c>
      <c r="M320" s="1004"/>
    </row>
    <row r="321" spans="2:13" hidden="1">
      <c r="B321" s="976"/>
      <c r="C321" s="759" t="s">
        <v>573</v>
      </c>
      <c r="D321" s="1084"/>
      <c r="E321" s="747"/>
      <c r="F321" s="976"/>
      <c r="G321" s="738"/>
      <c r="H321" s="1027"/>
      <c r="I321" s="747" t="s">
        <v>190</v>
      </c>
      <c r="J321" s="997">
        <f>J318+J320</f>
        <v>347.44</v>
      </c>
      <c r="K321" s="759" t="s">
        <v>183</v>
      </c>
      <c r="L321" s="1079" t="s">
        <v>574</v>
      </c>
      <c r="M321" s="1004"/>
    </row>
    <row r="322" spans="2:13" hidden="1">
      <c r="B322" s="976"/>
      <c r="C322" s="1027" t="s">
        <v>575</v>
      </c>
      <c r="E322" s="976"/>
      <c r="F322" s="976" t="s">
        <v>576</v>
      </c>
      <c r="G322" s="747" t="s">
        <v>203</v>
      </c>
      <c r="H322" s="747">
        <v>0.74</v>
      </c>
      <c r="I322" s="747" t="s">
        <v>190</v>
      </c>
      <c r="J322" s="997">
        <f>ROUND(J321*0.74,2)</f>
        <v>257.11</v>
      </c>
      <c r="K322" s="759" t="s">
        <v>556</v>
      </c>
      <c r="L322" s="1079" t="s">
        <v>577</v>
      </c>
      <c r="M322" s="1004"/>
    </row>
    <row r="323" spans="2:13" hidden="1">
      <c r="B323" s="976"/>
      <c r="C323" s="1027" t="s">
        <v>578</v>
      </c>
      <c r="D323" s="1084"/>
      <c r="E323" s="747"/>
      <c r="F323" s="1027"/>
      <c r="G323" s="738"/>
      <c r="H323" s="1027"/>
      <c r="I323" s="747" t="s">
        <v>190</v>
      </c>
      <c r="J323" s="997">
        <f>ค่าดำเนินการ!H49*1.1</f>
        <v>331.24299999999999</v>
      </c>
      <c r="K323" s="1082" t="s">
        <v>579</v>
      </c>
      <c r="L323" s="1082" t="s">
        <v>580</v>
      </c>
      <c r="M323" s="1004"/>
    </row>
    <row r="324" spans="2:13" hidden="1">
      <c r="B324" s="976"/>
      <c r="C324" s="1027" t="s">
        <v>1955</v>
      </c>
      <c r="D324" s="1084"/>
      <c r="E324" s="976"/>
      <c r="F324" s="976"/>
      <c r="G324" s="747">
        <f>IF(ปร.4_1!D4/4&lt;1,1,INT(ปร.4_1!D4/4))</f>
        <v>1</v>
      </c>
      <c r="H324" s="747" t="s">
        <v>181</v>
      </c>
      <c r="I324" s="747" t="s">
        <v>190</v>
      </c>
      <c r="J324" s="997">
        <f>VLOOKUP(G324,บรรทุกสิบล้อ!A9:C13,2)</f>
        <v>7.85</v>
      </c>
      <c r="K324" s="759" t="s">
        <v>556</v>
      </c>
      <c r="L324" s="1079" t="s">
        <v>581</v>
      </c>
      <c r="M324" s="1004"/>
    </row>
    <row r="325" spans="2:13" hidden="1">
      <c r="B325" s="976"/>
      <c r="C325" s="1027" t="s">
        <v>582</v>
      </c>
      <c r="D325" s="1085"/>
      <c r="E325" s="747"/>
      <c r="F325" s="747"/>
      <c r="G325" s="738"/>
      <c r="H325" s="1027"/>
      <c r="I325" s="747" t="s">
        <v>190</v>
      </c>
      <c r="J325" s="1014">
        <f>IF(D303=0,0,VLOOKUP(D303,ตารางที่_3,2))</f>
        <v>1</v>
      </c>
      <c r="K325" s="759"/>
      <c r="L325" s="1079" t="s">
        <v>583</v>
      </c>
      <c r="M325" s="1004"/>
    </row>
    <row r="326" spans="2:13" hidden="1">
      <c r="B326" s="976"/>
      <c r="C326" s="1027" t="s">
        <v>584</v>
      </c>
      <c r="D326" s="1084"/>
      <c r="E326" s="976"/>
      <c r="F326" s="976"/>
      <c r="G326" s="1041">
        <f>D303</f>
        <v>5</v>
      </c>
      <c r="H326" s="747" t="s">
        <v>585</v>
      </c>
      <c r="I326" s="747" t="s">
        <v>190</v>
      </c>
      <c r="J326" s="1014">
        <f>ค่าดำเนินการ!H54*J325</f>
        <v>11.43</v>
      </c>
      <c r="K326" s="759" t="s">
        <v>191</v>
      </c>
      <c r="L326" s="1079" t="s">
        <v>586</v>
      </c>
      <c r="M326" s="1004"/>
    </row>
    <row r="327" spans="2:13" hidden="1">
      <c r="B327" s="976"/>
      <c r="C327" s="1027"/>
      <c r="D327" s="1084"/>
      <c r="E327" s="747"/>
      <c r="F327" s="759" t="s">
        <v>796</v>
      </c>
      <c r="G327" s="738"/>
      <c r="H327" s="747"/>
      <c r="I327" s="747" t="s">
        <v>190</v>
      </c>
      <c r="J327" s="997">
        <f>ROUND(J311*J325*J326*1.1,2)</f>
        <v>104.73</v>
      </c>
      <c r="K327" s="759" t="s">
        <v>556</v>
      </c>
      <c r="L327" s="1079" t="s">
        <v>587</v>
      </c>
      <c r="M327" s="1004"/>
    </row>
    <row r="328" spans="2:13" hidden="1">
      <c r="B328" s="976"/>
      <c r="C328" s="1027" t="s">
        <v>233</v>
      </c>
      <c r="D328" s="1084"/>
      <c r="E328" s="747"/>
      <c r="F328" s="976"/>
      <c r="G328" s="738"/>
      <c r="H328" s="742"/>
      <c r="I328" s="747" t="s">
        <v>190</v>
      </c>
      <c r="J328" s="1067">
        <f>J313+J314+J317+J322+J323+J324+J327</f>
        <v>2153.7977999999998</v>
      </c>
      <c r="K328" s="759" t="s">
        <v>556</v>
      </c>
      <c r="L328" s="1079" t="s">
        <v>588</v>
      </c>
      <c r="M328" s="1004"/>
    </row>
    <row r="329" spans="2:13" ht="22.5" hidden="1" thickBot="1">
      <c r="B329" s="976"/>
      <c r="C329" s="976" t="s">
        <v>195</v>
      </c>
      <c r="D329" s="1084"/>
      <c r="E329" s="747"/>
      <c r="F329" s="759" t="s">
        <v>797</v>
      </c>
      <c r="G329" s="1086"/>
      <c r="H329" s="1085"/>
      <c r="I329" s="747" t="s">
        <v>190</v>
      </c>
      <c r="J329" s="1025">
        <f>IF(D303=0,0,ROUNDDOWN(J328/J311,2))</f>
        <v>258.55</v>
      </c>
      <c r="K329" s="759" t="s">
        <v>191</v>
      </c>
      <c r="L329" s="1079" t="s">
        <v>589</v>
      </c>
      <c r="M329" s="1004"/>
    </row>
    <row r="330" spans="2:13" ht="22.5" hidden="1" thickTop="1">
      <c r="B330" s="1031"/>
      <c r="C330" s="1002"/>
      <c r="F330" s="759"/>
    </row>
    <row r="331" spans="2:13" ht="22.5" hidden="1" thickBot="1">
      <c r="B331" s="1031"/>
      <c r="C331" s="1009" t="s">
        <v>798</v>
      </c>
      <c r="D331" s="684"/>
      <c r="E331" s="684"/>
      <c r="F331" s="684"/>
    </row>
    <row r="332" spans="2:13" hidden="1">
      <c r="B332" s="1031"/>
      <c r="C332" s="1087" t="s">
        <v>493</v>
      </c>
      <c r="D332" s="1087" t="s">
        <v>799</v>
      </c>
      <c r="E332" s="1639" t="s">
        <v>800</v>
      </c>
      <c r="F332" s="1639"/>
    </row>
    <row r="333" spans="2:13" ht="22.5" hidden="1" thickBot="1">
      <c r="B333" s="1031"/>
      <c r="C333" s="1088" t="s">
        <v>767</v>
      </c>
      <c r="D333" s="1088"/>
      <c r="E333" s="1649" t="s">
        <v>801</v>
      </c>
      <c r="F333" s="1649"/>
    </row>
    <row r="334" spans="2:13" hidden="1">
      <c r="B334" s="1031"/>
      <c r="C334" s="1087">
        <v>2.5</v>
      </c>
      <c r="D334" s="1087">
        <v>0.75</v>
      </c>
      <c r="E334" s="1639">
        <v>16.66</v>
      </c>
      <c r="F334" s="1639"/>
    </row>
    <row r="335" spans="2:13" hidden="1">
      <c r="B335" s="1031"/>
      <c r="C335" s="1089">
        <v>3</v>
      </c>
      <c r="D335" s="1089">
        <v>0.8</v>
      </c>
      <c r="E335" s="1640">
        <v>13.89</v>
      </c>
      <c r="F335" s="1640"/>
    </row>
    <row r="336" spans="2:13" hidden="1">
      <c r="B336" s="1031"/>
      <c r="C336" s="1089">
        <v>4</v>
      </c>
      <c r="D336" s="1089">
        <v>0.9</v>
      </c>
      <c r="E336" s="1640">
        <v>10.41</v>
      </c>
      <c r="F336" s="1640"/>
    </row>
    <row r="337" spans="2:15" hidden="1">
      <c r="B337" s="1031"/>
      <c r="C337" s="1089">
        <v>5</v>
      </c>
      <c r="D337" s="1089">
        <v>1</v>
      </c>
      <c r="E337" s="1640">
        <v>8.33</v>
      </c>
      <c r="F337" s="1640"/>
    </row>
    <row r="338" spans="2:15" hidden="1">
      <c r="B338" s="1031"/>
      <c r="C338" s="1089">
        <v>6</v>
      </c>
      <c r="D338" s="1089">
        <v>1.6</v>
      </c>
      <c r="E338" s="1640">
        <v>6.94</v>
      </c>
      <c r="F338" s="1640"/>
    </row>
    <row r="339" spans="2:15" hidden="1">
      <c r="B339" s="1031"/>
      <c r="C339" s="1089">
        <v>7</v>
      </c>
      <c r="D339" s="1089">
        <v>1.7</v>
      </c>
      <c r="E339" s="1640">
        <v>5.95</v>
      </c>
      <c r="F339" s="1640"/>
    </row>
    <row r="340" spans="2:15" hidden="1">
      <c r="B340" s="1031"/>
      <c r="C340" s="1089">
        <v>8</v>
      </c>
      <c r="D340" s="1089">
        <v>1.8</v>
      </c>
      <c r="E340" s="1640">
        <v>5.21</v>
      </c>
      <c r="F340" s="1640"/>
    </row>
    <row r="341" spans="2:15" hidden="1">
      <c r="B341" s="1031"/>
      <c r="C341" s="1089">
        <v>9</v>
      </c>
      <c r="D341" s="1089">
        <v>1.9</v>
      </c>
      <c r="E341" s="1640">
        <v>4.63</v>
      </c>
      <c r="F341" s="1640"/>
    </row>
    <row r="342" spans="2:15" hidden="1">
      <c r="B342" s="1031"/>
      <c r="C342" s="1089">
        <v>10</v>
      </c>
      <c r="D342" s="1089">
        <v>2</v>
      </c>
      <c r="E342" s="1640">
        <v>4.16</v>
      </c>
      <c r="F342" s="1640"/>
    </row>
    <row r="343" spans="2:15" ht="22.5" hidden="1" thickBot="1">
      <c r="B343" s="1031"/>
      <c r="C343" s="1088"/>
      <c r="D343" s="1088"/>
      <c r="E343" s="1649"/>
      <c r="F343" s="1649"/>
    </row>
    <row r="344" spans="2:15" hidden="1">
      <c r="B344" s="1031"/>
      <c r="C344" s="1002"/>
    </row>
    <row r="345" spans="2:15" hidden="1">
      <c r="B345" s="1031"/>
      <c r="C345" s="1002" t="s">
        <v>1014</v>
      </c>
    </row>
    <row r="346" spans="2:15" hidden="1">
      <c r="B346" s="1031"/>
      <c r="C346" s="1002"/>
    </row>
    <row r="347" spans="2:15" hidden="1">
      <c r="B347" s="1031"/>
      <c r="C347" s="1002"/>
    </row>
    <row r="348" spans="2:15" hidden="1">
      <c r="B348" s="1003">
        <f>ปร.4_1!B42</f>
        <v>2.6</v>
      </c>
      <c r="C348" s="1002" t="str">
        <f>ปร.4_1!C42</f>
        <v>งานผิวทางและไหล่ทางคอนกรีตเสริมเหล็ก</v>
      </c>
    </row>
    <row r="349" spans="2:15" hidden="1">
      <c r="B349" s="1001" t="str">
        <f>ปร.4_1!C43</f>
        <v>2.6.1</v>
      </c>
      <c r="C349" s="1034" t="s">
        <v>527</v>
      </c>
      <c r="D349" s="1060"/>
      <c r="E349" s="976"/>
      <c r="F349" s="1037"/>
      <c r="G349" s="738" t="s">
        <v>493</v>
      </c>
      <c r="H349" s="1090">
        <f>ปร.4_1!H43</f>
        <v>0</v>
      </c>
      <c r="I349" s="976" t="s">
        <v>17</v>
      </c>
      <c r="J349" s="976"/>
      <c r="K349" s="976"/>
    </row>
    <row r="350" spans="2:15" hidden="1">
      <c r="B350" s="976"/>
      <c r="C350" s="679" t="s">
        <v>259</v>
      </c>
      <c r="D350" s="1085">
        <v>10</v>
      </c>
      <c r="E350" s="976" t="s">
        <v>17</v>
      </c>
      <c r="F350" s="1037"/>
      <c r="G350" s="1037" t="s">
        <v>814</v>
      </c>
      <c r="H350" s="1091">
        <f>ROUNDDOWN((ปร.4_1!I5+(2*ปร.4_1!I6))/2,2)</f>
        <v>2.5</v>
      </c>
      <c r="I350" s="976" t="s">
        <v>17</v>
      </c>
      <c r="J350" s="976"/>
      <c r="K350" s="976"/>
    </row>
    <row r="351" spans="2:15" hidden="1">
      <c r="B351" s="976"/>
      <c r="C351" s="667" t="s">
        <v>494</v>
      </c>
      <c r="D351" s="1090">
        <f>D350*H350</f>
        <v>25</v>
      </c>
      <c r="E351" s="976" t="s">
        <v>7</v>
      </c>
      <c r="F351" s="1037"/>
      <c r="G351" s="1037" t="s">
        <v>1040</v>
      </c>
      <c r="H351" s="1091">
        <f>ROUNDDOWN(D351*H349/100,2)</f>
        <v>0</v>
      </c>
      <c r="I351" s="976" t="s">
        <v>6</v>
      </c>
      <c r="J351" s="976"/>
      <c r="K351" s="976"/>
    </row>
    <row r="352" spans="2:15" hidden="1">
      <c r="B352" s="976"/>
      <c r="C352" s="667" t="s">
        <v>495</v>
      </c>
      <c r="E352" s="738" t="s">
        <v>190</v>
      </c>
      <c r="F352" s="745">
        <f>H351</f>
        <v>0</v>
      </c>
      <c r="G352" s="738" t="s">
        <v>496</v>
      </c>
      <c r="H352" s="745">
        <f>M1236</f>
        <v>2026</v>
      </c>
      <c r="I352" s="738" t="s">
        <v>190</v>
      </c>
      <c r="J352" s="978">
        <f>F352*H352</f>
        <v>0</v>
      </c>
      <c r="K352" s="1092" t="s">
        <v>238</v>
      </c>
      <c r="L352" s="1093" t="s">
        <v>193</v>
      </c>
      <c r="O352" s="1034" t="s">
        <v>1058</v>
      </c>
    </row>
    <row r="353" spans="2:20" hidden="1">
      <c r="B353" s="976"/>
      <c r="C353" s="667" t="s">
        <v>1041</v>
      </c>
      <c r="E353" s="738"/>
      <c r="F353" s="745"/>
      <c r="G353" s="738">
        <f>IF(ปร.4_1!D4/4&lt;1,1,INT(ปร.4_1!D4/4))</f>
        <v>1</v>
      </c>
      <c r="H353" s="747" t="s">
        <v>181</v>
      </c>
      <c r="I353" s="747" t="s">
        <v>190</v>
      </c>
      <c r="J353" s="978">
        <f>VLOOKUP(G353,บรรทุกสิบล้อ!A9:C13,3)</f>
        <v>10.99</v>
      </c>
      <c r="K353" s="1092" t="s">
        <v>238</v>
      </c>
      <c r="L353" s="1093" t="s">
        <v>234</v>
      </c>
    </row>
    <row r="354" spans="2:20" hidden="1">
      <c r="B354" s="976"/>
      <c r="C354" s="667" t="s">
        <v>497</v>
      </c>
      <c r="E354" s="738"/>
      <c r="F354" s="745"/>
      <c r="G354" s="738"/>
      <c r="H354" s="738"/>
      <c r="I354" s="738"/>
      <c r="J354" s="738"/>
      <c r="K354" s="738"/>
      <c r="L354" s="1093" t="s">
        <v>239</v>
      </c>
    </row>
    <row r="355" spans="2:20" hidden="1">
      <c r="B355" s="976"/>
      <c r="C355" s="1094" t="s">
        <v>1057</v>
      </c>
      <c r="D355" s="1095">
        <f>IF(H349=0,0,VLOOKUP(T370,O374:W393,3))</f>
        <v>0</v>
      </c>
      <c r="E355" s="738" t="s">
        <v>190</v>
      </c>
      <c r="F355" s="1096">
        <f>IF(D355=0,0,VLOOKUP(T370,O374:W393,5))</f>
        <v>0</v>
      </c>
      <c r="G355" s="738" t="s">
        <v>1055</v>
      </c>
      <c r="H355" s="1096">
        <f>IF(D355=0,0,VLOOKUP(D355,R366:T368,3))</f>
        <v>0</v>
      </c>
      <c r="I355" s="738" t="s">
        <v>190</v>
      </c>
      <c r="J355" s="1097">
        <f t="shared" ref="J355:J361" si="0">F355*H355</f>
        <v>0</v>
      </c>
      <c r="K355" s="1092" t="s">
        <v>238</v>
      </c>
      <c r="L355" s="1093"/>
    </row>
    <row r="356" spans="2:20" hidden="1">
      <c r="B356" s="976"/>
      <c r="C356" s="1094" t="s">
        <v>1056</v>
      </c>
      <c r="D356" s="1095">
        <f>IF(H349=0,0,VLOOKUP(T370,O374:W393,7))</f>
        <v>0</v>
      </c>
      <c r="E356" s="738" t="s">
        <v>190</v>
      </c>
      <c r="F356" s="1096">
        <f>IF(D356=0,0,VLOOKUP(T370,O374:W393,9))</f>
        <v>0</v>
      </c>
      <c r="G356" s="738" t="s">
        <v>1055</v>
      </c>
      <c r="H356" s="1096">
        <f>IF(D356=0,0,VLOOKUP(D356,R366:T368,3))</f>
        <v>0</v>
      </c>
      <c r="I356" s="738" t="s">
        <v>190</v>
      </c>
      <c r="J356" s="1097">
        <f t="shared" si="0"/>
        <v>0</v>
      </c>
      <c r="K356" s="1092" t="s">
        <v>238</v>
      </c>
      <c r="L356" s="1093"/>
    </row>
    <row r="357" spans="2:20" hidden="1">
      <c r="B357" s="976"/>
      <c r="C357" s="1098" t="s">
        <v>8</v>
      </c>
      <c r="E357" s="738" t="s">
        <v>190</v>
      </c>
      <c r="F357" s="1096">
        <f>SUM(F355:F356)</f>
        <v>0</v>
      </c>
      <c r="G357" s="738" t="s">
        <v>1055</v>
      </c>
      <c r="H357" s="1096">
        <f>IF(F357=0,0,IF(F357/1000&gt;100,2900/1000,3300/1000))</f>
        <v>0</v>
      </c>
      <c r="I357" s="738" t="s">
        <v>190</v>
      </c>
      <c r="J357" s="1097">
        <f t="shared" si="0"/>
        <v>0</v>
      </c>
      <c r="K357" s="1092" t="s">
        <v>238</v>
      </c>
      <c r="L357" s="1093" t="s">
        <v>1178</v>
      </c>
    </row>
    <row r="358" spans="2:20" hidden="1">
      <c r="B358" s="976"/>
      <c r="C358" s="667" t="s">
        <v>384</v>
      </c>
      <c r="E358" s="738" t="s">
        <v>190</v>
      </c>
      <c r="F358" s="1096">
        <f>F357*2.5/100</f>
        <v>0</v>
      </c>
      <c r="G358" s="738" t="s">
        <v>1055</v>
      </c>
      <c r="H358" s="1096">
        <f>ข้อมูลแหล่งราคาวัสดุ!D54</f>
        <v>19.739999999999998</v>
      </c>
      <c r="I358" s="738" t="s">
        <v>190</v>
      </c>
      <c r="J358" s="1097">
        <f t="shared" si="0"/>
        <v>0</v>
      </c>
      <c r="K358" s="1092" t="s">
        <v>238</v>
      </c>
      <c r="L358" s="1093" t="s">
        <v>236</v>
      </c>
    </row>
    <row r="359" spans="2:20" hidden="1">
      <c r="B359" s="976"/>
      <c r="C359" s="667" t="s">
        <v>499</v>
      </c>
      <c r="E359" s="738" t="s">
        <v>190</v>
      </c>
      <c r="F359" s="1096">
        <v>10</v>
      </c>
      <c r="G359" s="738" t="s">
        <v>516</v>
      </c>
      <c r="H359" s="1096">
        <f>ค่าดำเนินการ!H59</f>
        <v>21.94</v>
      </c>
      <c r="I359" s="738" t="s">
        <v>190</v>
      </c>
      <c r="J359" s="1097">
        <f t="shared" si="0"/>
        <v>219.4</v>
      </c>
      <c r="K359" s="1092" t="s">
        <v>238</v>
      </c>
      <c r="L359" s="1093" t="s">
        <v>500</v>
      </c>
    </row>
    <row r="360" spans="2:20" hidden="1">
      <c r="B360" s="976"/>
      <c r="C360" s="667" t="s">
        <v>501</v>
      </c>
      <c r="E360" s="738" t="s">
        <v>190</v>
      </c>
      <c r="F360" s="1096">
        <f>D351</f>
        <v>25</v>
      </c>
      <c r="G360" s="738" t="s">
        <v>498</v>
      </c>
      <c r="H360" s="1096">
        <f>ค่าดำเนินการ!H60</f>
        <v>12.22</v>
      </c>
      <c r="I360" s="738" t="s">
        <v>190</v>
      </c>
      <c r="J360" s="1097">
        <f t="shared" si="0"/>
        <v>305.5</v>
      </c>
      <c r="K360" s="1092" t="s">
        <v>238</v>
      </c>
      <c r="L360" s="1093" t="s">
        <v>502</v>
      </c>
    </row>
    <row r="361" spans="2:20" hidden="1">
      <c r="B361" s="976"/>
      <c r="C361" s="667" t="s">
        <v>503</v>
      </c>
      <c r="E361" s="738" t="s">
        <v>190</v>
      </c>
      <c r="F361" s="1096">
        <f>D351</f>
        <v>25</v>
      </c>
      <c r="G361" s="738" t="s">
        <v>498</v>
      </c>
      <c r="H361" s="1096">
        <f>ค่าดำเนินการ!H63</f>
        <v>8.4600000000000009</v>
      </c>
      <c r="I361" s="738" t="s">
        <v>190</v>
      </c>
      <c r="J361" s="1097">
        <f t="shared" si="0"/>
        <v>211.50000000000003</v>
      </c>
      <c r="K361" s="1092" t="s">
        <v>238</v>
      </c>
      <c r="L361" s="1093" t="s">
        <v>504</v>
      </c>
    </row>
    <row r="362" spans="2:20" hidden="1">
      <c r="B362" s="976"/>
      <c r="C362" s="667" t="s">
        <v>505</v>
      </c>
      <c r="E362" s="738"/>
      <c r="F362" s="745"/>
      <c r="G362" s="738"/>
      <c r="H362" s="745"/>
      <c r="I362" s="738"/>
      <c r="J362" s="1067">
        <f>SUM(J352:J361)</f>
        <v>747.39</v>
      </c>
      <c r="K362" s="1092" t="s">
        <v>238</v>
      </c>
      <c r="L362" s="1093" t="s">
        <v>506</v>
      </c>
    </row>
    <row r="363" spans="2:20" ht="22.5" hidden="1" thickBot="1">
      <c r="B363" s="976"/>
      <c r="C363" s="667" t="s">
        <v>195</v>
      </c>
      <c r="E363" s="738" t="s">
        <v>190</v>
      </c>
      <c r="F363" s="1096">
        <f>J362</f>
        <v>747.39</v>
      </c>
      <c r="G363" s="738" t="s">
        <v>241</v>
      </c>
      <c r="H363" s="1096">
        <f>D351</f>
        <v>25</v>
      </c>
      <c r="I363" s="738" t="s">
        <v>190</v>
      </c>
      <c r="J363" s="1025">
        <f>IF(H350=0,0,ROUNDDOWN(J362/D351,2))</f>
        <v>29.89</v>
      </c>
      <c r="K363" s="1092" t="s">
        <v>191</v>
      </c>
      <c r="L363" s="1093" t="s">
        <v>507</v>
      </c>
    </row>
    <row r="364" spans="2:20" ht="22.5" hidden="1" thickTop="1">
      <c r="B364" s="976"/>
      <c r="C364" s="976"/>
      <c r="E364" s="976"/>
      <c r="F364" s="1037"/>
      <c r="G364" s="738"/>
      <c r="H364" s="745"/>
      <c r="I364" s="976"/>
      <c r="J364" s="976"/>
      <c r="K364" s="976"/>
      <c r="P364" s="1099" t="s">
        <v>1052</v>
      </c>
      <c r="R364" s="1616" t="s">
        <v>1049</v>
      </c>
      <c r="S364" s="1100" t="s">
        <v>1050</v>
      </c>
      <c r="T364" s="1101" t="s">
        <v>132</v>
      </c>
    </row>
    <row r="365" spans="2:20" hidden="1">
      <c r="B365" s="976"/>
      <c r="C365" s="1009" t="s">
        <v>1853</v>
      </c>
      <c r="D365" s="684"/>
      <c r="E365" s="684"/>
      <c r="F365" s="684"/>
      <c r="G365" s="684"/>
      <c r="H365" s="684"/>
      <c r="I365" s="684"/>
      <c r="J365" s="684"/>
      <c r="K365" s="684"/>
      <c r="L365" s="684"/>
      <c r="M365" s="684"/>
      <c r="P365" s="1102">
        <v>15</v>
      </c>
      <c r="R365" s="1620"/>
      <c r="S365" s="1103" t="s">
        <v>1051</v>
      </c>
      <c r="T365" s="1104" t="s">
        <v>298</v>
      </c>
    </row>
    <row r="366" spans="2:20" hidden="1">
      <c r="B366" s="976"/>
      <c r="C366" s="684" t="s">
        <v>809</v>
      </c>
      <c r="D366" s="684"/>
      <c r="E366" s="684"/>
      <c r="F366" s="684"/>
      <c r="G366" s="684"/>
      <c r="H366" s="684"/>
      <c r="I366" s="684"/>
      <c r="J366" s="684"/>
      <c r="K366" s="684"/>
      <c r="L366" s="684"/>
      <c r="M366" s="684"/>
      <c r="P366" s="1105">
        <v>18</v>
      </c>
      <c r="R366" s="1106">
        <v>6</v>
      </c>
      <c r="S366" s="733">
        <v>0.222</v>
      </c>
      <c r="T366" s="1107">
        <f>J1314</f>
        <v>22.41</v>
      </c>
    </row>
    <row r="367" spans="2:20" hidden="1">
      <c r="B367" s="976"/>
      <c r="C367" s="682" t="s">
        <v>810</v>
      </c>
      <c r="D367" s="684"/>
      <c r="E367" s="684"/>
      <c r="F367" s="684"/>
      <c r="G367" s="684"/>
      <c r="H367" s="684"/>
      <c r="I367" s="684"/>
      <c r="J367" s="684"/>
      <c r="K367" s="684"/>
      <c r="L367" s="684"/>
      <c r="M367" s="684"/>
      <c r="P367" s="1105">
        <v>20</v>
      </c>
      <c r="R367" s="1106">
        <v>9</v>
      </c>
      <c r="S367" s="733">
        <v>0.499</v>
      </c>
      <c r="T367" s="1108">
        <f>J1322</f>
        <v>21.43</v>
      </c>
    </row>
    <row r="368" spans="2:20" hidden="1">
      <c r="B368" s="976"/>
      <c r="C368" s="682"/>
      <c r="D368" s="684"/>
      <c r="E368" s="684"/>
      <c r="F368" s="684"/>
      <c r="G368" s="684"/>
      <c r="H368" s="684"/>
      <c r="I368" s="684"/>
      <c r="J368" s="684"/>
      <c r="K368" s="684"/>
      <c r="L368" s="684"/>
      <c r="M368" s="684"/>
      <c r="P368" s="1105">
        <v>23</v>
      </c>
      <c r="R368" s="1109">
        <v>12</v>
      </c>
      <c r="S368" s="1104">
        <v>0.88800000000000001</v>
      </c>
      <c r="T368" s="1110">
        <f>J1330</f>
        <v>21.25</v>
      </c>
    </row>
    <row r="369" spans="2:23" hidden="1">
      <c r="B369" s="976"/>
      <c r="C369" s="1023" t="s">
        <v>1045</v>
      </c>
      <c r="D369" s="684"/>
      <c r="E369" s="684"/>
      <c r="F369" s="684"/>
      <c r="G369" s="684"/>
      <c r="H369" s="684"/>
      <c r="I369" s="684"/>
      <c r="J369" s="684"/>
      <c r="K369" s="684"/>
      <c r="L369" s="684"/>
      <c r="M369" s="684"/>
      <c r="P369" s="1105">
        <v>25</v>
      </c>
      <c r="R369" s="1111" t="s">
        <v>493</v>
      </c>
      <c r="S369" s="1112" t="s">
        <v>1053</v>
      </c>
      <c r="T369" s="1113" t="s">
        <v>1054</v>
      </c>
    </row>
    <row r="370" spans="2:23" hidden="1">
      <c r="B370" s="976"/>
      <c r="C370" s="1657" t="s">
        <v>1016</v>
      </c>
      <c r="D370" s="1621" t="s">
        <v>1017</v>
      </c>
      <c r="E370" s="1621"/>
      <c r="F370" s="1621"/>
      <c r="G370" s="1621"/>
      <c r="H370" s="1657" t="s">
        <v>1022</v>
      </c>
      <c r="I370" s="1621" t="s">
        <v>1023</v>
      </c>
      <c r="J370" s="1621"/>
      <c r="K370" s="1621"/>
      <c r="L370" s="1621"/>
      <c r="M370" s="1621"/>
      <c r="N370" s="1621"/>
      <c r="P370" s="1114"/>
      <c r="R370" s="1115">
        <f>H349</f>
        <v>0</v>
      </c>
      <c r="S370" s="1116">
        <f>H350</f>
        <v>2.5</v>
      </c>
      <c r="T370" s="1117">
        <f>IF(AND(R370=P374,S370&lt;=T374),O374,IF(AND(R370=P375,S370=T375),O375,IF(AND(R370=P376,S370=T376),O376,IF(AND(R370=P377,S370=T377),O377,IF(AND(R370=P378,S370&lt;=T378),O378,IF(AND(R370=P379,S370=T379),O379,IF(AND(R370=P380,S370=T380),O380,IF(AND(R370=P381,S370=T381),O381,IF(AND(R370=P382,S370&lt;=T382),O382,IF(AND(R370=P383,S370=T383),O383,IF(AND(R370=P384,S370=T384),O384,IF(AND(R370=P385,S370=T385),O385,IF(AND(R370=P386,S370&lt;=T386),O386,IF(AND(R370=P387,S370=T387),O387,IF(AND(R370=P388,S370=T388),O388,IF(AND(R370=P389,S370=T389),O389,IF(AND(R370=P390,S370&lt;=T390),O390,IF(AND(R370=P391,S370=T391),O391,IF(AND(R370=P392,S370=T392),O392,IF(AND(R370=P393,S370=T393),O393,0))))))))))))))))))))</f>
        <v>0</v>
      </c>
    </row>
    <row r="371" spans="2:23" ht="21" hidden="1" customHeight="1">
      <c r="B371" s="976"/>
      <c r="C371" s="1658"/>
      <c r="D371" s="1621" t="s">
        <v>1018</v>
      </c>
      <c r="E371" s="1621"/>
      <c r="F371" s="1621"/>
      <c r="G371" s="1660" t="s">
        <v>1021</v>
      </c>
      <c r="H371" s="1658"/>
      <c r="I371" s="1621" t="s">
        <v>1018</v>
      </c>
      <c r="J371" s="1621"/>
      <c r="K371" s="1621"/>
      <c r="L371" s="1621"/>
      <c r="M371" s="1632" t="s">
        <v>1021</v>
      </c>
      <c r="N371" s="1633"/>
      <c r="O371" s="1610" t="s">
        <v>1042</v>
      </c>
      <c r="P371" s="1613" t="s">
        <v>1039</v>
      </c>
      <c r="Q371" s="1617" t="s">
        <v>1048</v>
      </c>
      <c r="R371" s="1618"/>
      <c r="S371" s="1619"/>
      <c r="T371" s="1609" t="s">
        <v>814</v>
      </c>
      <c r="U371" s="1617" t="s">
        <v>1048</v>
      </c>
      <c r="V371" s="1618"/>
      <c r="W371" s="1619"/>
    </row>
    <row r="372" spans="2:23" hidden="1">
      <c r="B372" s="976"/>
      <c r="C372" s="1658"/>
      <c r="D372" s="1621" t="s">
        <v>1019</v>
      </c>
      <c r="E372" s="1621"/>
      <c r="F372" s="1659" t="s">
        <v>1020</v>
      </c>
      <c r="G372" s="1660"/>
      <c r="H372" s="1658"/>
      <c r="I372" s="1628" t="s">
        <v>1019</v>
      </c>
      <c r="J372" s="1629"/>
      <c r="K372" s="1628" t="s">
        <v>1020</v>
      </c>
      <c r="L372" s="1629"/>
      <c r="M372" s="1634"/>
      <c r="N372" s="1635"/>
      <c r="O372" s="1611"/>
      <c r="P372" s="1614"/>
      <c r="Q372" s="1118" t="s">
        <v>1043</v>
      </c>
      <c r="R372" s="1100" t="s">
        <v>1044</v>
      </c>
      <c r="S372" s="1100" t="s">
        <v>1046</v>
      </c>
      <c r="T372" s="1609"/>
      <c r="U372" s="1118" t="s">
        <v>1043</v>
      </c>
      <c r="V372" s="1100" t="s">
        <v>1044</v>
      </c>
      <c r="W372" s="1100" t="s">
        <v>1046</v>
      </c>
    </row>
    <row r="373" spans="2:23" hidden="1">
      <c r="B373" s="976"/>
      <c r="C373" s="1661"/>
      <c r="D373" s="1621"/>
      <c r="E373" s="1621"/>
      <c r="F373" s="1659"/>
      <c r="G373" s="1660"/>
      <c r="H373" s="1661"/>
      <c r="I373" s="1630"/>
      <c r="J373" s="1631"/>
      <c r="K373" s="1630"/>
      <c r="L373" s="1631"/>
      <c r="M373" s="1636"/>
      <c r="N373" s="1637"/>
      <c r="O373" s="1612"/>
      <c r="P373" s="1119" t="s">
        <v>585</v>
      </c>
      <c r="Q373" s="1103" t="s">
        <v>1047</v>
      </c>
      <c r="R373" s="1103" t="s">
        <v>744</v>
      </c>
      <c r="S373" s="1103" t="s">
        <v>46</v>
      </c>
      <c r="T373" s="1119" t="s">
        <v>744</v>
      </c>
      <c r="U373" s="1103" t="s">
        <v>1047</v>
      </c>
      <c r="V373" s="1103" t="s">
        <v>744</v>
      </c>
      <c r="W373" s="1103" t="s">
        <v>46</v>
      </c>
    </row>
    <row r="374" spans="2:23" hidden="1">
      <c r="B374" s="976"/>
      <c r="C374" s="1621">
        <v>15</v>
      </c>
      <c r="D374" s="1622" t="s">
        <v>1030</v>
      </c>
      <c r="E374" s="1623"/>
      <c r="F374" s="1621">
        <v>255</v>
      </c>
      <c r="G374" s="1621">
        <v>112</v>
      </c>
      <c r="H374" s="1120" t="s">
        <v>1024</v>
      </c>
      <c r="I374" s="1621" t="s">
        <v>1025</v>
      </c>
      <c r="J374" s="1621"/>
      <c r="K374" s="1621">
        <v>94</v>
      </c>
      <c r="L374" s="1621"/>
      <c r="M374" s="1621">
        <v>41</v>
      </c>
      <c r="N374" s="1621"/>
      <c r="O374" s="1121">
        <v>1</v>
      </c>
      <c r="P374" s="1121">
        <v>15</v>
      </c>
      <c r="Q374" s="1122">
        <v>9</v>
      </c>
      <c r="R374" s="1123">
        <v>0.25</v>
      </c>
      <c r="S374" s="1123">
        <f t="shared" ref="S374:S393" si="1">ROUNDDOWN((INT($H$350/R374)+1)*$D$350*VLOOKUP(Q374,$R$366:$S$368,2),2)</f>
        <v>54.89</v>
      </c>
      <c r="T374" s="1124">
        <v>3</v>
      </c>
      <c r="U374" s="1122">
        <v>6</v>
      </c>
      <c r="V374" s="1123">
        <v>0.3</v>
      </c>
      <c r="W374" s="1123">
        <f>ROUNDDOWN((INT($D$350/V374)+1)*$H$350*VLOOKUP(U374,$R$366:$S$368,2),2)</f>
        <v>18.87</v>
      </c>
    </row>
    <row r="375" spans="2:23" hidden="1">
      <c r="B375" s="976"/>
      <c r="C375" s="1621"/>
      <c r="D375" s="1624"/>
      <c r="E375" s="1625"/>
      <c r="F375" s="1621"/>
      <c r="G375" s="1621"/>
      <c r="H375" s="1125">
        <v>3.5</v>
      </c>
      <c r="I375" s="1621" t="s">
        <v>1026</v>
      </c>
      <c r="J375" s="1621"/>
      <c r="K375" s="1621">
        <v>114</v>
      </c>
      <c r="L375" s="1621"/>
      <c r="M375" s="1621">
        <v>50</v>
      </c>
      <c r="N375" s="1621"/>
      <c r="O375" s="1126">
        <v>2</v>
      </c>
      <c r="P375" s="1126">
        <v>15</v>
      </c>
      <c r="Q375" s="1127">
        <v>9</v>
      </c>
      <c r="R375" s="1128">
        <v>0.25</v>
      </c>
      <c r="S375" s="1128">
        <f t="shared" si="1"/>
        <v>54.89</v>
      </c>
      <c r="T375" s="1129">
        <v>3.5</v>
      </c>
      <c r="U375" s="1127">
        <v>6</v>
      </c>
      <c r="V375" s="1128">
        <v>0.25</v>
      </c>
      <c r="W375" s="1128">
        <f t="shared" ref="W375:W393" si="2">ROUNDDOWN((INT($D$350/V375)+1)*$H$350*VLOOKUP(U375,$R$366:$S$368,2),2)</f>
        <v>22.75</v>
      </c>
    </row>
    <row r="376" spans="2:23" hidden="1">
      <c r="B376" s="976"/>
      <c r="C376" s="1621"/>
      <c r="D376" s="1624"/>
      <c r="E376" s="1625"/>
      <c r="F376" s="1621"/>
      <c r="G376" s="1621"/>
      <c r="H376" s="1125">
        <v>4</v>
      </c>
      <c r="I376" s="1621" t="s">
        <v>1027</v>
      </c>
      <c r="J376" s="1621"/>
      <c r="K376" s="1621">
        <v>141</v>
      </c>
      <c r="L376" s="1621"/>
      <c r="M376" s="1621">
        <v>62</v>
      </c>
      <c r="N376" s="1621"/>
      <c r="O376" s="1126">
        <v>3</v>
      </c>
      <c r="P376" s="1126">
        <v>15</v>
      </c>
      <c r="Q376" s="1127">
        <v>9</v>
      </c>
      <c r="R376" s="1128">
        <v>0.25</v>
      </c>
      <c r="S376" s="1128">
        <f t="shared" si="1"/>
        <v>54.89</v>
      </c>
      <c r="T376" s="1129">
        <v>4</v>
      </c>
      <c r="U376" s="1127">
        <v>6</v>
      </c>
      <c r="V376" s="1128">
        <v>0.2</v>
      </c>
      <c r="W376" s="1128">
        <f t="shared" si="2"/>
        <v>28.3</v>
      </c>
    </row>
    <row r="377" spans="2:23" hidden="1">
      <c r="B377" s="976"/>
      <c r="C377" s="1621"/>
      <c r="D377" s="1626"/>
      <c r="E377" s="1627"/>
      <c r="F377" s="1621"/>
      <c r="G377" s="1621"/>
      <c r="H377" s="1125">
        <v>4.5</v>
      </c>
      <c r="I377" s="1621" t="s">
        <v>1027</v>
      </c>
      <c r="J377" s="1621"/>
      <c r="K377" s="1621">
        <v>141</v>
      </c>
      <c r="L377" s="1621"/>
      <c r="M377" s="1621">
        <v>62</v>
      </c>
      <c r="N377" s="1621"/>
      <c r="O377" s="1130">
        <v>4</v>
      </c>
      <c r="P377" s="1130">
        <v>15</v>
      </c>
      <c r="Q377" s="1131">
        <v>9</v>
      </c>
      <c r="R377" s="1132">
        <v>0.25</v>
      </c>
      <c r="S377" s="1128">
        <f t="shared" si="1"/>
        <v>54.89</v>
      </c>
      <c r="T377" s="1133">
        <v>4.5</v>
      </c>
      <c r="U377" s="1131">
        <v>6</v>
      </c>
      <c r="V377" s="1132">
        <v>0.2</v>
      </c>
      <c r="W377" s="1132">
        <f t="shared" si="2"/>
        <v>28.3</v>
      </c>
    </row>
    <row r="378" spans="2:23" hidden="1">
      <c r="B378" s="976"/>
      <c r="C378" s="1621">
        <v>18</v>
      </c>
      <c r="D378" s="1622" t="s">
        <v>1031</v>
      </c>
      <c r="E378" s="1623"/>
      <c r="F378" s="1621">
        <v>277</v>
      </c>
      <c r="G378" s="1621">
        <v>121</v>
      </c>
      <c r="H378" s="1120" t="s">
        <v>1024</v>
      </c>
      <c r="I378" s="1621" t="s">
        <v>1026</v>
      </c>
      <c r="J378" s="1621"/>
      <c r="K378" s="1621">
        <v>114</v>
      </c>
      <c r="L378" s="1621"/>
      <c r="M378" s="1621">
        <v>50</v>
      </c>
      <c r="N378" s="1621"/>
      <c r="O378" s="1134">
        <v>5</v>
      </c>
      <c r="P378" s="1121">
        <v>18</v>
      </c>
      <c r="Q378" s="1122">
        <v>9</v>
      </c>
      <c r="R378" s="1123">
        <v>0.23</v>
      </c>
      <c r="S378" s="1123">
        <f t="shared" si="1"/>
        <v>54.89</v>
      </c>
      <c r="T378" s="1124">
        <v>3</v>
      </c>
      <c r="U378" s="1122">
        <v>6</v>
      </c>
      <c r="V378" s="1123">
        <v>0.25</v>
      </c>
      <c r="W378" s="1123">
        <f>ROUNDDOWN((INT($D$350/V378)+1)*$H$350*VLOOKUP(U378,$R$366:$S$368,2),2)</f>
        <v>22.75</v>
      </c>
    </row>
    <row r="379" spans="2:23" hidden="1">
      <c r="B379" s="976"/>
      <c r="C379" s="1621"/>
      <c r="D379" s="1624"/>
      <c r="E379" s="1625"/>
      <c r="F379" s="1621"/>
      <c r="G379" s="1621"/>
      <c r="H379" s="1125">
        <v>3.5</v>
      </c>
      <c r="I379" s="1621" t="s">
        <v>1027</v>
      </c>
      <c r="J379" s="1621"/>
      <c r="K379" s="1621">
        <v>141</v>
      </c>
      <c r="L379" s="1621"/>
      <c r="M379" s="1621">
        <v>62</v>
      </c>
      <c r="N379" s="1621"/>
      <c r="O379" s="1135">
        <v>6</v>
      </c>
      <c r="P379" s="1126">
        <v>18</v>
      </c>
      <c r="Q379" s="1127">
        <v>9</v>
      </c>
      <c r="R379" s="1128">
        <v>0.23</v>
      </c>
      <c r="S379" s="1128">
        <f t="shared" si="1"/>
        <v>54.89</v>
      </c>
      <c r="T379" s="1129">
        <v>3.5</v>
      </c>
      <c r="U379" s="1127">
        <v>6</v>
      </c>
      <c r="V379" s="1128">
        <v>0.2</v>
      </c>
      <c r="W379" s="1128">
        <f t="shared" si="2"/>
        <v>28.3</v>
      </c>
    </row>
    <row r="380" spans="2:23" hidden="1">
      <c r="B380" s="976"/>
      <c r="C380" s="1621"/>
      <c r="D380" s="1624"/>
      <c r="E380" s="1625"/>
      <c r="F380" s="1621"/>
      <c r="G380" s="1621"/>
      <c r="H380" s="1125">
        <v>4</v>
      </c>
      <c r="I380" s="1621" t="s">
        <v>1028</v>
      </c>
      <c r="J380" s="1621"/>
      <c r="K380" s="1621">
        <v>188</v>
      </c>
      <c r="L380" s="1621"/>
      <c r="M380" s="1621">
        <v>82</v>
      </c>
      <c r="N380" s="1621"/>
      <c r="O380" s="1135">
        <v>7</v>
      </c>
      <c r="P380" s="1126">
        <v>18</v>
      </c>
      <c r="Q380" s="1127">
        <v>9</v>
      </c>
      <c r="R380" s="1128">
        <v>0.23</v>
      </c>
      <c r="S380" s="1128">
        <f t="shared" si="1"/>
        <v>54.89</v>
      </c>
      <c r="T380" s="1129">
        <v>4</v>
      </c>
      <c r="U380" s="1127">
        <v>6</v>
      </c>
      <c r="V380" s="1128">
        <v>0.15</v>
      </c>
      <c r="W380" s="1128">
        <f t="shared" si="2"/>
        <v>37.18</v>
      </c>
    </row>
    <row r="381" spans="2:23" hidden="1">
      <c r="B381" s="976"/>
      <c r="C381" s="1621"/>
      <c r="D381" s="1626"/>
      <c r="E381" s="1627"/>
      <c r="F381" s="1621"/>
      <c r="G381" s="1621"/>
      <c r="H381" s="1125">
        <v>4.5</v>
      </c>
      <c r="I381" s="1621" t="s">
        <v>1028</v>
      </c>
      <c r="J381" s="1621"/>
      <c r="K381" s="1621">
        <v>188</v>
      </c>
      <c r="L381" s="1621"/>
      <c r="M381" s="1621">
        <v>82</v>
      </c>
      <c r="N381" s="1621"/>
      <c r="O381" s="1136">
        <v>8</v>
      </c>
      <c r="P381" s="1130">
        <v>18</v>
      </c>
      <c r="Q381" s="1131">
        <v>9</v>
      </c>
      <c r="R381" s="1132">
        <v>0.23</v>
      </c>
      <c r="S381" s="1132">
        <f t="shared" si="1"/>
        <v>54.89</v>
      </c>
      <c r="T381" s="1133">
        <v>4.5</v>
      </c>
      <c r="U381" s="1131">
        <v>6</v>
      </c>
      <c r="V381" s="1132">
        <v>0.15</v>
      </c>
      <c r="W381" s="1132">
        <f t="shared" si="2"/>
        <v>37.18</v>
      </c>
    </row>
    <row r="382" spans="2:23" hidden="1">
      <c r="B382" s="976"/>
      <c r="C382" s="1621">
        <v>20</v>
      </c>
      <c r="D382" s="1622" t="s">
        <v>1032</v>
      </c>
      <c r="E382" s="1623"/>
      <c r="F382" s="1621">
        <v>318</v>
      </c>
      <c r="G382" s="1621">
        <v>139</v>
      </c>
      <c r="H382" s="1120" t="s">
        <v>1024</v>
      </c>
      <c r="I382" s="1621" t="s">
        <v>1027</v>
      </c>
      <c r="J382" s="1621"/>
      <c r="K382" s="1621">
        <v>141</v>
      </c>
      <c r="L382" s="1621"/>
      <c r="M382" s="1621">
        <v>62</v>
      </c>
      <c r="N382" s="1621"/>
      <c r="O382" s="1134">
        <v>9</v>
      </c>
      <c r="P382" s="1121">
        <v>20</v>
      </c>
      <c r="Q382" s="1122">
        <v>9</v>
      </c>
      <c r="R382" s="1123">
        <v>0.2</v>
      </c>
      <c r="S382" s="1123">
        <f t="shared" si="1"/>
        <v>64.87</v>
      </c>
      <c r="T382" s="1124">
        <v>3</v>
      </c>
      <c r="U382" s="1122">
        <v>6</v>
      </c>
      <c r="V382" s="1123">
        <v>0.2</v>
      </c>
      <c r="W382" s="1123">
        <f>ROUNDDOWN((INT($D$350/V382)+1)*$H$350*VLOOKUP(U382,$R$366:$S$368,2),2)</f>
        <v>28.3</v>
      </c>
    </row>
    <row r="383" spans="2:23" hidden="1">
      <c r="B383" s="976"/>
      <c r="C383" s="1621"/>
      <c r="D383" s="1624"/>
      <c r="E383" s="1625"/>
      <c r="F383" s="1621"/>
      <c r="G383" s="1621"/>
      <c r="H383" s="1125">
        <v>3.5</v>
      </c>
      <c r="I383" s="1621" t="s">
        <v>1028</v>
      </c>
      <c r="J383" s="1621"/>
      <c r="K383" s="1621">
        <v>188</v>
      </c>
      <c r="L383" s="1621"/>
      <c r="M383" s="1621">
        <v>82</v>
      </c>
      <c r="N383" s="1621"/>
      <c r="O383" s="1135">
        <v>10</v>
      </c>
      <c r="P383" s="1126">
        <v>20</v>
      </c>
      <c r="Q383" s="1127">
        <v>9</v>
      </c>
      <c r="R383" s="1128">
        <v>0.2</v>
      </c>
      <c r="S383" s="1128">
        <f t="shared" si="1"/>
        <v>64.87</v>
      </c>
      <c r="T383" s="1129">
        <v>3.5</v>
      </c>
      <c r="U383" s="1127">
        <v>6</v>
      </c>
      <c r="V383" s="1128">
        <v>0.15</v>
      </c>
      <c r="W383" s="1128">
        <f t="shared" si="2"/>
        <v>37.18</v>
      </c>
    </row>
    <row r="384" spans="2:23" hidden="1">
      <c r="B384" s="976"/>
      <c r="C384" s="1621"/>
      <c r="D384" s="1624"/>
      <c r="E384" s="1625"/>
      <c r="F384" s="1621"/>
      <c r="G384" s="1621"/>
      <c r="H384" s="1125">
        <v>4</v>
      </c>
      <c r="I384" s="1621" t="s">
        <v>1028</v>
      </c>
      <c r="J384" s="1621"/>
      <c r="K384" s="1621">
        <v>188</v>
      </c>
      <c r="L384" s="1621"/>
      <c r="M384" s="1621">
        <v>82</v>
      </c>
      <c r="N384" s="1621"/>
      <c r="O384" s="1135">
        <v>11</v>
      </c>
      <c r="P384" s="1126">
        <v>20</v>
      </c>
      <c r="Q384" s="1127">
        <v>9</v>
      </c>
      <c r="R384" s="1128">
        <v>0.2</v>
      </c>
      <c r="S384" s="1128">
        <f t="shared" si="1"/>
        <v>64.87</v>
      </c>
      <c r="T384" s="1129">
        <v>4</v>
      </c>
      <c r="U384" s="1127">
        <v>6</v>
      </c>
      <c r="V384" s="1128">
        <v>0.15</v>
      </c>
      <c r="W384" s="1128">
        <f t="shared" si="2"/>
        <v>37.18</v>
      </c>
    </row>
    <row r="385" spans="2:23" hidden="1">
      <c r="B385" s="976"/>
      <c r="C385" s="1621"/>
      <c r="D385" s="1626"/>
      <c r="E385" s="1627"/>
      <c r="F385" s="1621"/>
      <c r="G385" s="1621"/>
      <c r="H385" s="1125">
        <v>4.5</v>
      </c>
      <c r="I385" s="1621" t="s">
        <v>1028</v>
      </c>
      <c r="J385" s="1621"/>
      <c r="K385" s="1621">
        <v>188</v>
      </c>
      <c r="L385" s="1621"/>
      <c r="M385" s="1621">
        <v>82</v>
      </c>
      <c r="N385" s="1621"/>
      <c r="O385" s="1136">
        <v>12</v>
      </c>
      <c r="P385" s="1130">
        <v>20</v>
      </c>
      <c r="Q385" s="1131">
        <v>9</v>
      </c>
      <c r="R385" s="1132">
        <v>0.2</v>
      </c>
      <c r="S385" s="1132">
        <f t="shared" si="1"/>
        <v>64.87</v>
      </c>
      <c r="T385" s="1133">
        <v>4.5</v>
      </c>
      <c r="U385" s="1131">
        <v>6</v>
      </c>
      <c r="V385" s="1132">
        <v>0.15</v>
      </c>
      <c r="W385" s="1132">
        <f t="shared" si="2"/>
        <v>37.18</v>
      </c>
    </row>
    <row r="386" spans="2:23" hidden="1">
      <c r="B386" s="976"/>
      <c r="C386" s="1621">
        <v>23</v>
      </c>
      <c r="D386" s="1622" t="s">
        <v>1033</v>
      </c>
      <c r="E386" s="1623"/>
      <c r="F386" s="1621">
        <v>353</v>
      </c>
      <c r="G386" s="1621">
        <v>154</v>
      </c>
      <c r="H386" s="1120" t="s">
        <v>1024</v>
      </c>
      <c r="I386" s="1621" t="s">
        <v>1035</v>
      </c>
      <c r="J386" s="1621"/>
      <c r="K386" s="1621">
        <v>159</v>
      </c>
      <c r="L386" s="1621"/>
      <c r="M386" s="1621">
        <v>69</v>
      </c>
      <c r="N386" s="1621"/>
      <c r="O386" s="1134">
        <v>13</v>
      </c>
      <c r="P386" s="1121">
        <v>23</v>
      </c>
      <c r="Q386" s="1122">
        <v>9</v>
      </c>
      <c r="R386" s="1123">
        <v>0.18</v>
      </c>
      <c r="S386" s="1123">
        <f t="shared" si="1"/>
        <v>69.86</v>
      </c>
      <c r="T386" s="1124">
        <v>3</v>
      </c>
      <c r="U386" s="1122">
        <v>9</v>
      </c>
      <c r="V386" s="1123">
        <v>0.4</v>
      </c>
      <c r="W386" s="1123">
        <f>ROUNDDOWN((INT($D$350/V386)+1)*$H$350*VLOOKUP(U386,$R$366:$S$368,2),2)</f>
        <v>32.43</v>
      </c>
    </row>
    <row r="387" spans="2:23" hidden="1">
      <c r="B387" s="976"/>
      <c r="C387" s="1621"/>
      <c r="D387" s="1624"/>
      <c r="E387" s="1625"/>
      <c r="F387" s="1621"/>
      <c r="G387" s="1621"/>
      <c r="H387" s="1125">
        <v>3.5</v>
      </c>
      <c r="I387" s="1621" t="s">
        <v>1037</v>
      </c>
      <c r="J387" s="1621"/>
      <c r="K387" s="1621">
        <v>212</v>
      </c>
      <c r="L387" s="1621"/>
      <c r="M387" s="1621">
        <v>93</v>
      </c>
      <c r="N387" s="1621"/>
      <c r="O387" s="1135">
        <v>14</v>
      </c>
      <c r="P387" s="1126">
        <v>23</v>
      </c>
      <c r="Q387" s="1127">
        <v>9</v>
      </c>
      <c r="R387" s="1128">
        <v>0.18</v>
      </c>
      <c r="S387" s="1128">
        <f t="shared" si="1"/>
        <v>69.86</v>
      </c>
      <c r="T387" s="1129">
        <v>3.5</v>
      </c>
      <c r="U387" s="1127">
        <v>9</v>
      </c>
      <c r="V387" s="1128">
        <v>0.3</v>
      </c>
      <c r="W387" s="1128">
        <f t="shared" si="2"/>
        <v>42.41</v>
      </c>
    </row>
    <row r="388" spans="2:23" hidden="1">
      <c r="B388" s="976"/>
      <c r="C388" s="1621"/>
      <c r="D388" s="1624"/>
      <c r="E388" s="1625"/>
      <c r="F388" s="1621"/>
      <c r="G388" s="1621"/>
      <c r="H388" s="1125">
        <v>4</v>
      </c>
      <c r="I388" s="1621" t="s">
        <v>1037</v>
      </c>
      <c r="J388" s="1621"/>
      <c r="K388" s="1621">
        <v>212</v>
      </c>
      <c r="L388" s="1621"/>
      <c r="M388" s="1621">
        <v>93</v>
      </c>
      <c r="N388" s="1621"/>
      <c r="O388" s="1135">
        <v>15</v>
      </c>
      <c r="P388" s="1126">
        <v>23</v>
      </c>
      <c r="Q388" s="1127">
        <v>9</v>
      </c>
      <c r="R388" s="1128">
        <v>0.18</v>
      </c>
      <c r="S388" s="1128">
        <f t="shared" si="1"/>
        <v>69.86</v>
      </c>
      <c r="T388" s="1129">
        <v>4</v>
      </c>
      <c r="U388" s="1127">
        <v>9</v>
      </c>
      <c r="V388" s="1128">
        <v>0.3</v>
      </c>
      <c r="W388" s="1128">
        <f t="shared" si="2"/>
        <v>42.41</v>
      </c>
    </row>
    <row r="389" spans="2:23" hidden="1">
      <c r="B389" s="976"/>
      <c r="C389" s="1621"/>
      <c r="D389" s="1626"/>
      <c r="E389" s="1627"/>
      <c r="F389" s="1621"/>
      <c r="G389" s="1621"/>
      <c r="H389" s="1125">
        <v>4.5</v>
      </c>
      <c r="I389" s="1621" t="s">
        <v>1038</v>
      </c>
      <c r="J389" s="1621"/>
      <c r="K389" s="1621">
        <v>254</v>
      </c>
      <c r="L389" s="1621"/>
      <c r="M389" s="1621">
        <v>111</v>
      </c>
      <c r="N389" s="1621"/>
      <c r="O389" s="1136">
        <v>16</v>
      </c>
      <c r="P389" s="1130">
        <v>23</v>
      </c>
      <c r="Q389" s="1131">
        <v>9</v>
      </c>
      <c r="R389" s="1132">
        <v>0.18</v>
      </c>
      <c r="S389" s="1132">
        <f t="shared" si="1"/>
        <v>69.86</v>
      </c>
      <c r="T389" s="1133">
        <v>4.5</v>
      </c>
      <c r="U389" s="1131">
        <v>9</v>
      </c>
      <c r="V389" s="1132">
        <v>0.25</v>
      </c>
      <c r="W389" s="1132">
        <f t="shared" si="2"/>
        <v>51.14</v>
      </c>
    </row>
    <row r="390" spans="2:23" hidden="1">
      <c r="B390" s="976"/>
      <c r="C390" s="1621">
        <v>25</v>
      </c>
      <c r="D390" s="1622" t="s">
        <v>1034</v>
      </c>
      <c r="E390" s="1623"/>
      <c r="F390" s="1621">
        <v>424</v>
      </c>
      <c r="G390" s="1621">
        <v>185</v>
      </c>
      <c r="H390" s="1120" t="s">
        <v>1024</v>
      </c>
      <c r="I390" s="1621" t="s">
        <v>1036</v>
      </c>
      <c r="J390" s="1621"/>
      <c r="K390" s="1621">
        <v>182</v>
      </c>
      <c r="L390" s="1621"/>
      <c r="M390" s="1621">
        <v>79</v>
      </c>
      <c r="N390" s="1621"/>
      <c r="O390" s="1134">
        <v>17</v>
      </c>
      <c r="P390" s="1121">
        <v>25</v>
      </c>
      <c r="Q390" s="1122">
        <v>9</v>
      </c>
      <c r="R390" s="1123">
        <v>0.15</v>
      </c>
      <c r="S390" s="1123">
        <f t="shared" si="1"/>
        <v>84.83</v>
      </c>
      <c r="T390" s="1124">
        <v>3</v>
      </c>
      <c r="U390" s="1122">
        <v>9</v>
      </c>
      <c r="V390" s="1123">
        <v>0.35</v>
      </c>
      <c r="W390" s="1123">
        <f>ROUNDDOWN((INT($D$350/V390)+1)*$H$350*VLOOKUP(U390,$R$366:$S$368,2),2)</f>
        <v>36.17</v>
      </c>
    </row>
    <row r="391" spans="2:23" hidden="1">
      <c r="B391" s="976"/>
      <c r="C391" s="1621"/>
      <c r="D391" s="1624"/>
      <c r="E391" s="1625"/>
      <c r="F391" s="1621"/>
      <c r="G391" s="1621"/>
      <c r="H391" s="1125">
        <v>3.5</v>
      </c>
      <c r="I391" s="1621" t="s">
        <v>1038</v>
      </c>
      <c r="J391" s="1621"/>
      <c r="K391" s="1621">
        <v>254</v>
      </c>
      <c r="L391" s="1621"/>
      <c r="M391" s="1621">
        <v>111</v>
      </c>
      <c r="N391" s="1621"/>
      <c r="O391" s="1135">
        <v>18</v>
      </c>
      <c r="P391" s="1126">
        <v>25</v>
      </c>
      <c r="Q391" s="1127">
        <v>9</v>
      </c>
      <c r="R391" s="1128">
        <v>0.15</v>
      </c>
      <c r="S391" s="1128">
        <f t="shared" si="1"/>
        <v>84.83</v>
      </c>
      <c r="T391" s="1129">
        <v>3.5</v>
      </c>
      <c r="U391" s="1127">
        <v>9</v>
      </c>
      <c r="V391" s="1128">
        <v>0.25</v>
      </c>
      <c r="W391" s="1128">
        <f t="shared" si="2"/>
        <v>51.14</v>
      </c>
    </row>
    <row r="392" spans="2:23" hidden="1">
      <c r="B392" s="976"/>
      <c r="C392" s="1621"/>
      <c r="D392" s="1624"/>
      <c r="E392" s="1625"/>
      <c r="F392" s="1621"/>
      <c r="G392" s="1621"/>
      <c r="H392" s="1125">
        <v>4</v>
      </c>
      <c r="I392" s="1621" t="s">
        <v>1038</v>
      </c>
      <c r="J392" s="1621"/>
      <c r="K392" s="1621">
        <v>254</v>
      </c>
      <c r="L392" s="1621"/>
      <c r="M392" s="1621">
        <v>111</v>
      </c>
      <c r="N392" s="1621"/>
      <c r="O392" s="1135">
        <v>19</v>
      </c>
      <c r="P392" s="1126">
        <v>25</v>
      </c>
      <c r="Q392" s="1127">
        <v>9</v>
      </c>
      <c r="R392" s="1128">
        <v>0.15</v>
      </c>
      <c r="S392" s="1128">
        <f t="shared" si="1"/>
        <v>84.83</v>
      </c>
      <c r="T392" s="1129">
        <v>4</v>
      </c>
      <c r="U392" s="1127">
        <v>9</v>
      </c>
      <c r="V392" s="1128">
        <v>0.25</v>
      </c>
      <c r="W392" s="1128">
        <f t="shared" si="2"/>
        <v>51.14</v>
      </c>
    </row>
    <row r="393" spans="2:23" hidden="1">
      <c r="B393" s="976"/>
      <c r="C393" s="1621"/>
      <c r="D393" s="1626"/>
      <c r="E393" s="1627"/>
      <c r="F393" s="1621"/>
      <c r="G393" s="1621"/>
      <c r="H393" s="1125">
        <v>4.5</v>
      </c>
      <c r="I393" s="1621" t="s">
        <v>1029</v>
      </c>
      <c r="J393" s="1621"/>
      <c r="K393" s="1621">
        <v>318</v>
      </c>
      <c r="L393" s="1621"/>
      <c r="M393" s="1621">
        <v>139</v>
      </c>
      <c r="N393" s="1621"/>
      <c r="O393" s="1136">
        <v>20</v>
      </c>
      <c r="P393" s="1130">
        <v>25</v>
      </c>
      <c r="Q393" s="1131">
        <v>9</v>
      </c>
      <c r="R393" s="1132">
        <v>0.15</v>
      </c>
      <c r="S393" s="1132">
        <f t="shared" si="1"/>
        <v>84.83</v>
      </c>
      <c r="T393" s="1133">
        <v>4.5</v>
      </c>
      <c r="U393" s="1131">
        <v>9</v>
      </c>
      <c r="V393" s="1132">
        <v>0.2</v>
      </c>
      <c r="W393" s="1132">
        <f t="shared" si="2"/>
        <v>63.62</v>
      </c>
    </row>
    <row r="394" spans="2:23" hidden="1">
      <c r="B394" s="976"/>
      <c r="C394" s="684" t="s">
        <v>813</v>
      </c>
      <c r="D394" s="684"/>
      <c r="E394" s="684"/>
      <c r="F394" s="684"/>
      <c r="G394" s="684"/>
      <c r="H394" s="684"/>
      <c r="I394" s="684"/>
      <c r="J394" s="684"/>
      <c r="K394" s="684"/>
      <c r="L394" s="684"/>
      <c r="M394" s="684"/>
    </row>
    <row r="395" spans="2:23" hidden="1">
      <c r="B395" s="976"/>
      <c r="C395" s="976"/>
      <c r="E395" s="976"/>
      <c r="F395" s="1037"/>
      <c r="G395" s="738"/>
      <c r="H395" s="745"/>
      <c r="I395" s="976"/>
      <c r="J395" s="976"/>
      <c r="K395" s="976"/>
    </row>
    <row r="396" spans="2:23" hidden="1">
      <c r="B396" s="1001" t="str">
        <f>ปร.4_1!C44</f>
        <v>2.6.2</v>
      </c>
      <c r="C396" s="1137" t="str">
        <f>ปร.4_1!D44</f>
        <v>Expansion  Joint</v>
      </c>
      <c r="D396" s="976"/>
      <c r="E396" s="976"/>
      <c r="F396" s="1037"/>
      <c r="G396" s="738"/>
      <c r="H396" s="745"/>
      <c r="I396" s="976"/>
      <c r="J396" s="976"/>
      <c r="K396" s="976"/>
    </row>
    <row r="397" spans="2:23" hidden="1">
      <c r="B397" s="976"/>
      <c r="C397" s="1071" t="s">
        <v>508</v>
      </c>
      <c r="D397" s="976"/>
      <c r="E397" s="976"/>
      <c r="F397" s="976"/>
      <c r="G397" s="738"/>
      <c r="H397" s="745"/>
      <c r="I397" s="738" t="s">
        <v>190</v>
      </c>
      <c r="J397" s="1097">
        <f>IF(H350=0,2.5,H350)</f>
        <v>2.5</v>
      </c>
      <c r="K397" s="1011" t="s">
        <v>17</v>
      </c>
      <c r="L397" s="1138" t="s">
        <v>193</v>
      </c>
    </row>
    <row r="398" spans="2:23" hidden="1">
      <c r="B398" s="976"/>
      <c r="C398" s="1071" t="s">
        <v>827</v>
      </c>
      <c r="D398" s="976"/>
      <c r="E398" s="976"/>
      <c r="F398" s="1097">
        <f>IF($P$408=0,0,VLOOKUP($O$408,$O$412:$W$436,4))</f>
        <v>17.329999999999998</v>
      </c>
      <c r="G398" s="1016" t="s">
        <v>242</v>
      </c>
      <c r="H398" s="1097">
        <f>J1354</f>
        <v>23.68</v>
      </c>
      <c r="I398" s="738" t="s">
        <v>190</v>
      </c>
      <c r="J398" s="1097">
        <f>H398*F398</f>
        <v>410.37439999999998</v>
      </c>
      <c r="K398" s="1011" t="s">
        <v>238</v>
      </c>
      <c r="L398" s="1138" t="s">
        <v>234</v>
      </c>
    </row>
    <row r="399" spans="2:23" hidden="1">
      <c r="B399" s="976"/>
      <c r="C399" s="1071" t="s">
        <v>625</v>
      </c>
      <c r="D399" s="976"/>
      <c r="E399" s="976"/>
      <c r="F399" s="1097">
        <f>IF($P$408=0,0,VLOOKUP($O$408,$O$412:$W$436,5))</f>
        <v>9</v>
      </c>
      <c r="G399" s="1016" t="s">
        <v>626</v>
      </c>
      <c r="H399" s="1097">
        <v>14</v>
      </c>
      <c r="I399" s="738" t="s">
        <v>190</v>
      </c>
      <c r="J399" s="1097">
        <f t="shared" ref="J399:J404" si="3">H399*F399</f>
        <v>126</v>
      </c>
      <c r="K399" s="1011" t="s">
        <v>238</v>
      </c>
      <c r="L399" s="1138" t="s">
        <v>239</v>
      </c>
    </row>
    <row r="400" spans="2:23" hidden="1">
      <c r="B400" s="976"/>
      <c r="C400" s="1071" t="s">
        <v>627</v>
      </c>
      <c r="D400" s="976"/>
      <c r="E400" s="976"/>
      <c r="F400" s="1097">
        <f>IF($P$408=0,0,VLOOKUP($O$408,$O$412:$W$436,6))</f>
        <v>0.37</v>
      </c>
      <c r="G400" s="1016" t="s">
        <v>255</v>
      </c>
      <c r="H400" s="1097">
        <v>400</v>
      </c>
      <c r="I400" s="738" t="s">
        <v>190</v>
      </c>
      <c r="J400" s="1097">
        <f t="shared" si="3"/>
        <v>148</v>
      </c>
      <c r="K400" s="1011" t="s">
        <v>238</v>
      </c>
      <c r="L400" s="1138" t="s">
        <v>244</v>
      </c>
    </row>
    <row r="401" spans="2:23" hidden="1">
      <c r="B401" s="976"/>
      <c r="C401" s="1071" t="s">
        <v>628</v>
      </c>
      <c r="D401" s="976"/>
      <c r="E401" s="976"/>
      <c r="F401" s="1097">
        <f>IF($P$408=0,0,VLOOKUP($O$408,$O$412:$W$436,7))</f>
        <v>1.56</v>
      </c>
      <c r="G401" s="1016" t="s">
        <v>245</v>
      </c>
      <c r="H401" s="1097">
        <v>45</v>
      </c>
      <c r="I401" s="738" t="s">
        <v>190</v>
      </c>
      <c r="J401" s="1097">
        <f t="shared" si="3"/>
        <v>70.2</v>
      </c>
      <c r="K401" s="1011" t="s">
        <v>238</v>
      </c>
      <c r="L401" s="1138" t="s">
        <v>236</v>
      </c>
    </row>
    <row r="402" spans="2:23" hidden="1">
      <c r="B402" s="976"/>
      <c r="C402" s="1071" t="s">
        <v>629</v>
      </c>
      <c r="D402" s="976"/>
      <c r="E402" s="976"/>
      <c r="F402" s="1097">
        <f>J397</f>
        <v>2.5</v>
      </c>
      <c r="G402" s="1016" t="s">
        <v>243</v>
      </c>
      <c r="H402" s="1097">
        <f>ค่าดำเนินการ!H62</f>
        <v>13.35</v>
      </c>
      <c r="I402" s="738" t="s">
        <v>190</v>
      </c>
      <c r="J402" s="1097">
        <f t="shared" si="3"/>
        <v>33.375</v>
      </c>
      <c r="K402" s="1011" t="s">
        <v>238</v>
      </c>
      <c r="L402" s="1138" t="s">
        <v>630</v>
      </c>
    </row>
    <row r="403" spans="2:23" hidden="1">
      <c r="B403" s="976"/>
      <c r="C403" s="1071" t="s">
        <v>631</v>
      </c>
      <c r="D403" s="976"/>
      <c r="E403" s="976"/>
      <c r="F403" s="1097">
        <f>IF($P$408=0,0,VLOOKUP($O$408,$O$412:$W$436,8))</f>
        <v>3</v>
      </c>
      <c r="G403" s="1016" t="s">
        <v>243</v>
      </c>
      <c r="H403" s="1097">
        <v>10</v>
      </c>
      <c r="I403" s="738" t="s">
        <v>190</v>
      </c>
      <c r="J403" s="1097">
        <f t="shared" si="3"/>
        <v>30</v>
      </c>
      <c r="K403" s="1011" t="s">
        <v>238</v>
      </c>
      <c r="L403" s="1138" t="s">
        <v>246</v>
      </c>
    </row>
    <row r="404" spans="2:23" hidden="1">
      <c r="B404" s="976"/>
      <c r="C404" s="1071" t="s">
        <v>451</v>
      </c>
      <c r="D404" s="976"/>
      <c r="E404" s="976"/>
      <c r="F404" s="1097">
        <f>IF($P$408=0,0,VLOOKUP($O$408,$O$412:$W$436,9))</f>
        <v>0.37</v>
      </c>
      <c r="G404" s="1016" t="s">
        <v>632</v>
      </c>
      <c r="H404" s="1097">
        <f>K1471</f>
        <v>227</v>
      </c>
      <c r="I404" s="738" t="s">
        <v>190</v>
      </c>
      <c r="J404" s="1097">
        <f t="shared" si="3"/>
        <v>83.99</v>
      </c>
      <c r="K404" s="1011" t="s">
        <v>238</v>
      </c>
      <c r="L404" s="1138" t="s">
        <v>247</v>
      </c>
    </row>
    <row r="405" spans="2:23" hidden="1">
      <c r="B405" s="976"/>
      <c r="C405" s="1071" t="s">
        <v>233</v>
      </c>
      <c r="D405" s="976"/>
      <c r="E405" s="976"/>
      <c r="F405" s="1097"/>
      <c r="G405" s="745"/>
      <c r="H405" s="1097"/>
      <c r="I405" s="738" t="s">
        <v>190</v>
      </c>
      <c r="J405" s="1067">
        <f>SUM(J398:J404)</f>
        <v>901.93939999999998</v>
      </c>
      <c r="K405" s="1011" t="s">
        <v>238</v>
      </c>
      <c r="L405" s="1138" t="s">
        <v>633</v>
      </c>
    </row>
    <row r="406" spans="2:23" ht="22.5" hidden="1" thickBot="1">
      <c r="B406" s="976"/>
      <c r="C406" s="1071" t="s">
        <v>195</v>
      </c>
      <c r="D406" s="976"/>
      <c r="E406" s="976"/>
      <c r="F406" s="1097">
        <f>J405</f>
        <v>901.93939999999998</v>
      </c>
      <c r="G406" s="1001" t="s">
        <v>241</v>
      </c>
      <c r="H406" s="1097">
        <f>J397</f>
        <v>2.5</v>
      </c>
      <c r="I406" s="738" t="s">
        <v>190</v>
      </c>
      <c r="J406" s="1025">
        <f>IF(J397=0,0,ROUNDDOWN(J405/H406,2))</f>
        <v>360.77</v>
      </c>
      <c r="K406" s="1011" t="s">
        <v>252</v>
      </c>
      <c r="L406" s="1138" t="s">
        <v>248</v>
      </c>
      <c r="P406" s="976"/>
      <c r="R406" s="1139"/>
      <c r="S406" s="1140"/>
      <c r="W406" s="1139"/>
    </row>
    <row r="407" spans="2:23" ht="22.5" hidden="1" thickTop="1">
      <c r="B407" s="976"/>
      <c r="C407" s="976"/>
      <c r="D407" s="976"/>
      <c r="E407" s="976"/>
      <c r="F407" s="1037"/>
      <c r="G407" s="738"/>
      <c r="H407" s="745"/>
      <c r="I407" s="976"/>
      <c r="J407" s="976"/>
      <c r="K407" s="976"/>
      <c r="O407" s="1111" t="s">
        <v>1054</v>
      </c>
      <c r="P407" s="1111" t="s">
        <v>493</v>
      </c>
      <c r="Q407" s="1112" t="s">
        <v>1053</v>
      </c>
      <c r="R407" s="1139"/>
      <c r="S407" s="1140"/>
      <c r="W407" s="1139"/>
    </row>
    <row r="408" spans="2:23" hidden="1">
      <c r="B408" s="976"/>
      <c r="C408" s="1034" t="s">
        <v>3</v>
      </c>
      <c r="D408" s="976"/>
      <c r="E408" s="976"/>
      <c r="F408" s="1037"/>
      <c r="G408" s="738"/>
      <c r="H408" s="745"/>
      <c r="I408" s="976"/>
      <c r="J408" s="976"/>
      <c r="K408" s="976"/>
      <c r="O408" s="1141">
        <f>IF(AND(P408=P412,Q408=Q412),O412,IF(AND(P408=P413,Q408=Q413),O413,IF(AND(P408=P414,Q408=Q414),O414,IF(AND(P408=P415,Q408=Q415),O415,IF(AND(P408=P416,Q408=Q416),O416,IF(AND(P408=P417,Q408&lt;=Q417),O417,IF(AND(P408=P418,Q408=Q418),O418,IF(AND(P408=P419,Q408=Q419),O419,IF(AND(P408=P420,Q408=Q420),O420,IF(AND(P408=P421,Q408=Q421),O421,IF(AND(P408=P422,Q408&lt;=Q422),O422,IF(AND(P408=P423,Q408=Q423),O423,IF(AND(P408=P424,Q408=Q424),O424,IF(AND(P408=P425,Q408=Q425),O425,IF(AND(P408=P426,Q408=Q426),O426,IF(AND(P408=P427,Q408&lt;=Q427),O427,IF(AND(P408=P428,Q408=Q428),O428,IF(AND(P408=P429,Q408=Q429),O429,IF(AND(P408=P430,Q408=Q430),O430,IF(AND(P408=P431,Q408=Q431),O431,IF(AND(P408=P432,Q408&lt;=Q432),O432,IF(AND(P408=P433,Q408=Q433),O433,IF(AND(P408=P434,Q408=Q434),O434,IF(AND(P408=P435,Q408=Q435),O435,IF(AND(P408=P436,Q408=Q436),O436,0)))))))))))))))))))))))))</f>
        <v>1</v>
      </c>
      <c r="P408" s="1115">
        <f>IF(H349=0,15,H349)</f>
        <v>15</v>
      </c>
      <c r="Q408" s="1116">
        <f>J397</f>
        <v>2.5</v>
      </c>
      <c r="R408" s="1139"/>
      <c r="S408" s="1140"/>
      <c r="T408" s="1139"/>
      <c r="U408" s="1139"/>
      <c r="V408" s="1139"/>
      <c r="W408" s="1139"/>
    </row>
    <row r="409" spans="2:23" ht="21" hidden="1" customHeight="1">
      <c r="B409" s="976"/>
      <c r="C409" s="1657" t="s">
        <v>1016</v>
      </c>
      <c r="D409" s="1657" t="s">
        <v>1022</v>
      </c>
      <c r="E409" s="1607" t="s">
        <v>1059</v>
      </c>
      <c r="F409" s="1607"/>
      <c r="G409" s="1607" t="s">
        <v>1060</v>
      </c>
      <c r="H409" s="1615" t="s">
        <v>1061</v>
      </c>
      <c r="I409" s="1607" t="s">
        <v>1062</v>
      </c>
      <c r="J409" s="1607" t="s">
        <v>1063</v>
      </c>
      <c r="K409" s="1607" t="s">
        <v>1064</v>
      </c>
      <c r="O409" s="1610" t="s">
        <v>1042</v>
      </c>
      <c r="P409" s="1613" t="s">
        <v>1039</v>
      </c>
      <c r="Q409" s="1609" t="s">
        <v>814</v>
      </c>
      <c r="R409" s="1608" t="s">
        <v>1065</v>
      </c>
      <c r="S409" s="1607" t="s">
        <v>1060</v>
      </c>
      <c r="T409" s="1615" t="s">
        <v>1061</v>
      </c>
      <c r="U409" s="1607" t="s">
        <v>1062</v>
      </c>
      <c r="V409" s="1607" t="s">
        <v>1063</v>
      </c>
      <c r="W409" s="1607" t="s">
        <v>1064</v>
      </c>
    </row>
    <row r="410" spans="2:23" ht="21" hidden="1" customHeight="1">
      <c r="B410" s="976"/>
      <c r="C410" s="1658"/>
      <c r="D410" s="1658"/>
      <c r="E410" s="1607"/>
      <c r="F410" s="1607"/>
      <c r="G410" s="1607"/>
      <c r="H410" s="1615"/>
      <c r="I410" s="1607"/>
      <c r="J410" s="1607"/>
      <c r="K410" s="1607"/>
      <c r="O410" s="1611"/>
      <c r="P410" s="1614"/>
      <c r="Q410" s="1609"/>
      <c r="R410" s="1609"/>
      <c r="S410" s="1607"/>
      <c r="T410" s="1615"/>
      <c r="U410" s="1607"/>
      <c r="V410" s="1607"/>
      <c r="W410" s="1607"/>
    </row>
    <row r="411" spans="2:23" ht="21" hidden="1" customHeight="1">
      <c r="B411" s="976"/>
      <c r="C411" s="1658"/>
      <c r="D411" s="1658"/>
      <c r="E411" s="1607"/>
      <c r="F411" s="1607"/>
      <c r="G411" s="1607"/>
      <c r="H411" s="1615"/>
      <c r="I411" s="1607"/>
      <c r="J411" s="1607"/>
      <c r="K411" s="1607"/>
      <c r="O411" s="1612"/>
      <c r="P411" s="1119" t="s">
        <v>585</v>
      </c>
      <c r="Q411" s="1119" t="s">
        <v>744</v>
      </c>
      <c r="R411" s="1609"/>
      <c r="S411" s="1608"/>
      <c r="T411" s="1616"/>
      <c r="U411" s="1608"/>
      <c r="V411" s="1608"/>
      <c r="W411" s="1608"/>
    </row>
    <row r="412" spans="2:23" hidden="1">
      <c r="B412" s="976"/>
      <c r="C412" s="1653">
        <v>15</v>
      </c>
      <c r="D412" s="1125">
        <v>2.5</v>
      </c>
      <c r="E412" s="1656">
        <f t="shared" ref="E412:E436" si="4">ROUNDDOWN((INT(D412/0.3)+1)*0.5*3.853,2)</f>
        <v>17.329999999999998</v>
      </c>
      <c r="F412" s="1656"/>
      <c r="G412" s="1113">
        <f t="shared" ref="G412:G436" si="5">(INT(D412/0.3)+1)</f>
        <v>9</v>
      </c>
      <c r="H412" s="1099">
        <f>ROUNDDOWN(D412*C412/100,2)</f>
        <v>0.37</v>
      </c>
      <c r="I412" s="1099">
        <f t="shared" ref="I412:I436" si="6">ROUNDDOWN(D412*0.025*0.025*1000,2)</f>
        <v>1.56</v>
      </c>
      <c r="J412" s="1099">
        <f t="shared" ref="J412:J436" si="7">ROUNDDOWN(D412*(0.6+0.6),2)</f>
        <v>3</v>
      </c>
      <c r="K412" s="1099">
        <f>ROUNDDOWN(D412*C412/100,2)</f>
        <v>0.37</v>
      </c>
      <c r="O412" s="1121">
        <v>1</v>
      </c>
      <c r="P412" s="1121">
        <f>C412</f>
        <v>15</v>
      </c>
      <c r="Q412" s="1123">
        <f>D412</f>
        <v>2.5</v>
      </c>
      <c r="R412" s="1123">
        <f>E412</f>
        <v>17.329999999999998</v>
      </c>
      <c r="S412" s="1123">
        <f t="shared" ref="S412:S436" si="8">G412</f>
        <v>9</v>
      </c>
      <c r="T412" s="1123">
        <f t="shared" ref="T412:T436" si="9">H412</f>
        <v>0.37</v>
      </c>
      <c r="U412" s="1123">
        <f t="shared" ref="U412:U436" si="10">I412</f>
        <v>1.56</v>
      </c>
      <c r="V412" s="1123">
        <f t="shared" ref="V412:V436" si="11">J412</f>
        <v>3</v>
      </c>
      <c r="W412" s="1123">
        <f t="shared" ref="W412:W436" si="12">K412</f>
        <v>0.37</v>
      </c>
    </row>
    <row r="413" spans="2:23" hidden="1">
      <c r="B413" s="976"/>
      <c r="C413" s="1654"/>
      <c r="D413" s="1125">
        <v>3</v>
      </c>
      <c r="E413" s="1656">
        <f t="shared" si="4"/>
        <v>21.19</v>
      </c>
      <c r="F413" s="1656"/>
      <c r="G413" s="1113">
        <f t="shared" si="5"/>
        <v>11</v>
      </c>
      <c r="H413" s="1099">
        <f>ROUNDDOWN(D413*C412/100,2)</f>
        <v>0.45</v>
      </c>
      <c r="I413" s="1099">
        <f t="shared" si="6"/>
        <v>1.87</v>
      </c>
      <c r="J413" s="1099">
        <f t="shared" si="7"/>
        <v>3.6</v>
      </c>
      <c r="K413" s="1099">
        <f>ROUNDDOWN(D413*C412/100,2)</f>
        <v>0.45</v>
      </c>
      <c r="O413" s="1126">
        <v>2</v>
      </c>
      <c r="P413" s="1126">
        <f>P412</f>
        <v>15</v>
      </c>
      <c r="Q413" s="1128">
        <f t="shared" ref="Q413:Q436" si="13">D413</f>
        <v>3</v>
      </c>
      <c r="R413" s="1128">
        <f t="shared" ref="R413:R436" si="14">E413</f>
        <v>21.19</v>
      </c>
      <c r="S413" s="1128">
        <f t="shared" si="8"/>
        <v>11</v>
      </c>
      <c r="T413" s="1128">
        <f t="shared" si="9"/>
        <v>0.45</v>
      </c>
      <c r="U413" s="1128">
        <f t="shared" si="10"/>
        <v>1.87</v>
      </c>
      <c r="V413" s="1128">
        <f t="shared" si="11"/>
        <v>3.6</v>
      </c>
      <c r="W413" s="1128">
        <f t="shared" si="12"/>
        <v>0.45</v>
      </c>
    </row>
    <row r="414" spans="2:23" hidden="1">
      <c r="B414" s="976"/>
      <c r="C414" s="1654"/>
      <c r="D414" s="1125">
        <v>3.5</v>
      </c>
      <c r="E414" s="1656">
        <f t="shared" si="4"/>
        <v>23.11</v>
      </c>
      <c r="F414" s="1656"/>
      <c r="G414" s="1113">
        <f t="shared" si="5"/>
        <v>12</v>
      </c>
      <c r="H414" s="1099">
        <f>ROUNDDOWN(D414*C412/100,2)</f>
        <v>0.52</v>
      </c>
      <c r="I414" s="1099">
        <f t="shared" si="6"/>
        <v>2.1800000000000002</v>
      </c>
      <c r="J414" s="1099">
        <f t="shared" si="7"/>
        <v>4.2</v>
      </c>
      <c r="K414" s="1099">
        <f>ROUNDDOWN(D414*C412/100,2)</f>
        <v>0.52</v>
      </c>
      <c r="O414" s="1126">
        <v>3</v>
      </c>
      <c r="P414" s="1126">
        <f>P413</f>
        <v>15</v>
      </c>
      <c r="Q414" s="1128">
        <f t="shared" si="13"/>
        <v>3.5</v>
      </c>
      <c r="R414" s="1128">
        <f t="shared" si="14"/>
        <v>23.11</v>
      </c>
      <c r="S414" s="1128">
        <f t="shared" si="8"/>
        <v>12</v>
      </c>
      <c r="T414" s="1128">
        <f t="shared" si="9"/>
        <v>0.52</v>
      </c>
      <c r="U414" s="1128">
        <f t="shared" si="10"/>
        <v>2.1800000000000002</v>
      </c>
      <c r="V414" s="1128">
        <f t="shared" si="11"/>
        <v>4.2</v>
      </c>
      <c r="W414" s="1128">
        <f t="shared" si="12"/>
        <v>0.52</v>
      </c>
    </row>
    <row r="415" spans="2:23" hidden="1">
      <c r="B415" s="976"/>
      <c r="C415" s="1654"/>
      <c r="D415" s="1125">
        <v>4</v>
      </c>
      <c r="E415" s="1656">
        <f t="shared" si="4"/>
        <v>26.97</v>
      </c>
      <c r="F415" s="1656"/>
      <c r="G415" s="1113">
        <f t="shared" si="5"/>
        <v>14</v>
      </c>
      <c r="H415" s="1099">
        <f>ROUNDDOWN(D415*C412/100,2)</f>
        <v>0.6</v>
      </c>
      <c r="I415" s="1099">
        <f t="shared" si="6"/>
        <v>2.5</v>
      </c>
      <c r="J415" s="1099">
        <f t="shared" si="7"/>
        <v>4.8</v>
      </c>
      <c r="K415" s="1099">
        <f>ROUNDDOWN(D415*C412/100,2)</f>
        <v>0.6</v>
      </c>
      <c r="O415" s="1126">
        <v>4</v>
      </c>
      <c r="P415" s="1126">
        <f>P414</f>
        <v>15</v>
      </c>
      <c r="Q415" s="1128">
        <f t="shared" si="13"/>
        <v>4</v>
      </c>
      <c r="R415" s="1128">
        <f t="shared" si="14"/>
        <v>26.97</v>
      </c>
      <c r="S415" s="1128">
        <f t="shared" si="8"/>
        <v>14</v>
      </c>
      <c r="T415" s="1128">
        <f t="shared" si="9"/>
        <v>0.6</v>
      </c>
      <c r="U415" s="1128">
        <f t="shared" si="10"/>
        <v>2.5</v>
      </c>
      <c r="V415" s="1128">
        <f t="shared" si="11"/>
        <v>4.8</v>
      </c>
      <c r="W415" s="1128">
        <f t="shared" si="12"/>
        <v>0.6</v>
      </c>
    </row>
    <row r="416" spans="2:23" hidden="1">
      <c r="B416" s="976"/>
      <c r="C416" s="1655"/>
      <c r="D416" s="1125">
        <v>4.5</v>
      </c>
      <c r="E416" s="1656">
        <f t="shared" si="4"/>
        <v>30.82</v>
      </c>
      <c r="F416" s="1656"/>
      <c r="G416" s="1113">
        <f t="shared" si="5"/>
        <v>16</v>
      </c>
      <c r="H416" s="1099">
        <f>ROUNDDOWN(D416*C412/100,2)</f>
        <v>0.67</v>
      </c>
      <c r="I416" s="1099">
        <f t="shared" si="6"/>
        <v>2.81</v>
      </c>
      <c r="J416" s="1099">
        <f t="shared" si="7"/>
        <v>5.4</v>
      </c>
      <c r="K416" s="1099">
        <f>ROUNDDOWN(D416*C412/100,2)</f>
        <v>0.67</v>
      </c>
      <c r="O416" s="1130">
        <v>5</v>
      </c>
      <c r="P416" s="1130">
        <f>P415</f>
        <v>15</v>
      </c>
      <c r="Q416" s="1132">
        <f t="shared" si="13"/>
        <v>4.5</v>
      </c>
      <c r="R416" s="1132">
        <f t="shared" si="14"/>
        <v>30.82</v>
      </c>
      <c r="S416" s="1132">
        <f t="shared" si="8"/>
        <v>16</v>
      </c>
      <c r="T416" s="1132">
        <f t="shared" si="9"/>
        <v>0.67</v>
      </c>
      <c r="U416" s="1132">
        <f t="shared" si="10"/>
        <v>2.81</v>
      </c>
      <c r="V416" s="1132">
        <f t="shared" si="11"/>
        <v>5.4</v>
      </c>
      <c r="W416" s="1132">
        <f t="shared" si="12"/>
        <v>0.67</v>
      </c>
    </row>
    <row r="417" spans="2:23" hidden="1">
      <c r="B417" s="976"/>
      <c r="C417" s="1653">
        <v>18</v>
      </c>
      <c r="D417" s="1125">
        <v>2.5</v>
      </c>
      <c r="E417" s="1656">
        <f t="shared" si="4"/>
        <v>17.329999999999998</v>
      </c>
      <c r="F417" s="1656"/>
      <c r="G417" s="1113">
        <f t="shared" si="5"/>
        <v>9</v>
      </c>
      <c r="H417" s="1099">
        <f>ROUNDDOWN(D417*C417/100,2)</f>
        <v>0.45</v>
      </c>
      <c r="I417" s="1099">
        <f t="shared" si="6"/>
        <v>1.56</v>
      </c>
      <c r="J417" s="1099">
        <f t="shared" si="7"/>
        <v>3</v>
      </c>
      <c r="K417" s="1099">
        <f>ROUNDDOWN(D417*C417/100,2)</f>
        <v>0.45</v>
      </c>
      <c r="O417" s="1134">
        <v>6</v>
      </c>
      <c r="P417" s="1121">
        <f>C417</f>
        <v>18</v>
      </c>
      <c r="Q417" s="1123">
        <f t="shared" si="13"/>
        <v>2.5</v>
      </c>
      <c r="R417" s="1123">
        <f t="shared" si="14"/>
        <v>17.329999999999998</v>
      </c>
      <c r="S417" s="1123">
        <f t="shared" si="8"/>
        <v>9</v>
      </c>
      <c r="T417" s="1123">
        <f t="shared" si="9"/>
        <v>0.45</v>
      </c>
      <c r="U417" s="1123">
        <f t="shared" si="10"/>
        <v>1.56</v>
      </c>
      <c r="V417" s="1123">
        <f t="shared" si="11"/>
        <v>3</v>
      </c>
      <c r="W417" s="1123">
        <f t="shared" si="12"/>
        <v>0.45</v>
      </c>
    </row>
    <row r="418" spans="2:23" hidden="1">
      <c r="B418" s="976"/>
      <c r="C418" s="1654"/>
      <c r="D418" s="1125">
        <v>3</v>
      </c>
      <c r="E418" s="1656">
        <f t="shared" si="4"/>
        <v>21.19</v>
      </c>
      <c r="F418" s="1656"/>
      <c r="G418" s="1113">
        <f t="shared" si="5"/>
        <v>11</v>
      </c>
      <c r="H418" s="1099">
        <f>ROUNDDOWN(D418*C417/100,2)</f>
        <v>0.54</v>
      </c>
      <c r="I418" s="1099">
        <f t="shared" si="6"/>
        <v>1.87</v>
      </c>
      <c r="J418" s="1099">
        <f t="shared" si="7"/>
        <v>3.6</v>
      </c>
      <c r="K418" s="1099">
        <f>ROUNDDOWN(D418*C417/100,2)</f>
        <v>0.54</v>
      </c>
      <c r="O418" s="1135">
        <v>7</v>
      </c>
      <c r="P418" s="1126">
        <f>P417</f>
        <v>18</v>
      </c>
      <c r="Q418" s="1128">
        <f t="shared" si="13"/>
        <v>3</v>
      </c>
      <c r="R418" s="1128">
        <f t="shared" si="14"/>
        <v>21.19</v>
      </c>
      <c r="S418" s="1128">
        <f t="shared" si="8"/>
        <v>11</v>
      </c>
      <c r="T418" s="1128">
        <f t="shared" si="9"/>
        <v>0.54</v>
      </c>
      <c r="U418" s="1128">
        <f t="shared" si="10"/>
        <v>1.87</v>
      </c>
      <c r="V418" s="1128">
        <f t="shared" si="11"/>
        <v>3.6</v>
      </c>
      <c r="W418" s="1128">
        <f t="shared" si="12"/>
        <v>0.54</v>
      </c>
    </row>
    <row r="419" spans="2:23" hidden="1">
      <c r="B419" s="976"/>
      <c r="C419" s="1654"/>
      <c r="D419" s="1125">
        <v>3.5</v>
      </c>
      <c r="E419" s="1656">
        <f t="shared" si="4"/>
        <v>23.11</v>
      </c>
      <c r="F419" s="1656"/>
      <c r="G419" s="1113">
        <f t="shared" si="5"/>
        <v>12</v>
      </c>
      <c r="H419" s="1099">
        <f>ROUNDDOWN(D419*C417/100,2)</f>
        <v>0.63</v>
      </c>
      <c r="I419" s="1099">
        <f t="shared" si="6"/>
        <v>2.1800000000000002</v>
      </c>
      <c r="J419" s="1099">
        <f t="shared" si="7"/>
        <v>4.2</v>
      </c>
      <c r="K419" s="1099">
        <f>ROUNDDOWN(D419*C417/100,2)</f>
        <v>0.63</v>
      </c>
      <c r="O419" s="1135">
        <v>8</v>
      </c>
      <c r="P419" s="1126">
        <f>P418</f>
        <v>18</v>
      </c>
      <c r="Q419" s="1128">
        <f t="shared" si="13"/>
        <v>3.5</v>
      </c>
      <c r="R419" s="1128">
        <f t="shared" si="14"/>
        <v>23.11</v>
      </c>
      <c r="S419" s="1128">
        <f t="shared" si="8"/>
        <v>12</v>
      </c>
      <c r="T419" s="1128">
        <f t="shared" si="9"/>
        <v>0.63</v>
      </c>
      <c r="U419" s="1128">
        <f t="shared" si="10"/>
        <v>2.1800000000000002</v>
      </c>
      <c r="V419" s="1128">
        <f t="shared" si="11"/>
        <v>4.2</v>
      </c>
      <c r="W419" s="1128">
        <f t="shared" si="12"/>
        <v>0.63</v>
      </c>
    </row>
    <row r="420" spans="2:23" hidden="1">
      <c r="B420" s="976"/>
      <c r="C420" s="1654"/>
      <c r="D420" s="1125">
        <v>4</v>
      </c>
      <c r="E420" s="1656">
        <f t="shared" si="4"/>
        <v>26.97</v>
      </c>
      <c r="F420" s="1656"/>
      <c r="G420" s="1113">
        <f t="shared" si="5"/>
        <v>14</v>
      </c>
      <c r="H420" s="1099">
        <f>ROUNDDOWN(D420*C417/100,2)</f>
        <v>0.72</v>
      </c>
      <c r="I420" s="1099">
        <f t="shared" si="6"/>
        <v>2.5</v>
      </c>
      <c r="J420" s="1099">
        <f t="shared" si="7"/>
        <v>4.8</v>
      </c>
      <c r="K420" s="1099">
        <f>ROUNDDOWN(D420*C417/100,2)</f>
        <v>0.72</v>
      </c>
      <c r="O420" s="1135">
        <v>9</v>
      </c>
      <c r="P420" s="1126">
        <f>P419</f>
        <v>18</v>
      </c>
      <c r="Q420" s="1128">
        <f t="shared" si="13"/>
        <v>4</v>
      </c>
      <c r="R420" s="1128">
        <f t="shared" si="14"/>
        <v>26.97</v>
      </c>
      <c r="S420" s="1128">
        <f t="shared" si="8"/>
        <v>14</v>
      </c>
      <c r="T420" s="1128">
        <f t="shared" si="9"/>
        <v>0.72</v>
      </c>
      <c r="U420" s="1128">
        <f t="shared" si="10"/>
        <v>2.5</v>
      </c>
      <c r="V420" s="1128">
        <f t="shared" si="11"/>
        <v>4.8</v>
      </c>
      <c r="W420" s="1128">
        <f t="shared" si="12"/>
        <v>0.72</v>
      </c>
    </row>
    <row r="421" spans="2:23" hidden="1">
      <c r="B421" s="976"/>
      <c r="C421" s="1655"/>
      <c r="D421" s="1125">
        <v>4.5</v>
      </c>
      <c r="E421" s="1656">
        <f t="shared" si="4"/>
        <v>30.82</v>
      </c>
      <c r="F421" s="1656"/>
      <c r="G421" s="1113">
        <f t="shared" si="5"/>
        <v>16</v>
      </c>
      <c r="H421" s="1099">
        <f>ROUNDDOWN(D421*C417/100,2)</f>
        <v>0.81</v>
      </c>
      <c r="I421" s="1099">
        <f t="shared" si="6"/>
        <v>2.81</v>
      </c>
      <c r="J421" s="1099">
        <f t="shared" si="7"/>
        <v>5.4</v>
      </c>
      <c r="K421" s="1099">
        <f>ROUNDDOWN(D421*C417/100,2)</f>
        <v>0.81</v>
      </c>
      <c r="O421" s="1136">
        <v>10</v>
      </c>
      <c r="P421" s="1130">
        <f>P420</f>
        <v>18</v>
      </c>
      <c r="Q421" s="1132">
        <f t="shared" si="13"/>
        <v>4.5</v>
      </c>
      <c r="R421" s="1132">
        <f t="shared" si="14"/>
        <v>30.82</v>
      </c>
      <c r="S421" s="1132">
        <f t="shared" si="8"/>
        <v>16</v>
      </c>
      <c r="T421" s="1132">
        <f t="shared" si="9"/>
        <v>0.81</v>
      </c>
      <c r="U421" s="1132">
        <f t="shared" si="10"/>
        <v>2.81</v>
      </c>
      <c r="V421" s="1132">
        <f t="shared" si="11"/>
        <v>5.4</v>
      </c>
      <c r="W421" s="1132">
        <f t="shared" si="12"/>
        <v>0.81</v>
      </c>
    </row>
    <row r="422" spans="2:23" hidden="1">
      <c r="B422" s="976"/>
      <c r="C422" s="1653">
        <v>20</v>
      </c>
      <c r="D422" s="1125">
        <v>2.5</v>
      </c>
      <c r="E422" s="1656">
        <f t="shared" si="4"/>
        <v>17.329999999999998</v>
      </c>
      <c r="F422" s="1656"/>
      <c r="G422" s="1113">
        <f t="shared" si="5"/>
        <v>9</v>
      </c>
      <c r="H422" s="1099">
        <f>ROUNDDOWN(D422*C422/100,2)</f>
        <v>0.5</v>
      </c>
      <c r="I422" s="1099">
        <f t="shared" si="6"/>
        <v>1.56</v>
      </c>
      <c r="J422" s="1099">
        <f t="shared" si="7"/>
        <v>3</v>
      </c>
      <c r="K422" s="1099">
        <f>ROUNDDOWN(D422*C422/100,2)</f>
        <v>0.5</v>
      </c>
      <c r="O422" s="1134">
        <v>11</v>
      </c>
      <c r="P422" s="1121">
        <f>C422</f>
        <v>20</v>
      </c>
      <c r="Q422" s="1123">
        <f t="shared" si="13"/>
        <v>2.5</v>
      </c>
      <c r="R422" s="1123">
        <f t="shared" si="14"/>
        <v>17.329999999999998</v>
      </c>
      <c r="S422" s="1123">
        <f t="shared" si="8"/>
        <v>9</v>
      </c>
      <c r="T422" s="1123">
        <f t="shared" si="9"/>
        <v>0.5</v>
      </c>
      <c r="U422" s="1123">
        <f t="shared" si="10"/>
        <v>1.56</v>
      </c>
      <c r="V422" s="1123">
        <f t="shared" si="11"/>
        <v>3</v>
      </c>
      <c r="W422" s="1123">
        <f t="shared" si="12"/>
        <v>0.5</v>
      </c>
    </row>
    <row r="423" spans="2:23" hidden="1">
      <c r="B423" s="976"/>
      <c r="C423" s="1654"/>
      <c r="D423" s="1125">
        <v>3</v>
      </c>
      <c r="E423" s="1656">
        <f t="shared" si="4"/>
        <v>21.19</v>
      </c>
      <c r="F423" s="1656"/>
      <c r="G423" s="1113">
        <f t="shared" si="5"/>
        <v>11</v>
      </c>
      <c r="H423" s="1099">
        <f>ROUNDDOWN(D423*C422/100,2)</f>
        <v>0.6</v>
      </c>
      <c r="I423" s="1099">
        <f t="shared" si="6"/>
        <v>1.87</v>
      </c>
      <c r="J423" s="1099">
        <f t="shared" si="7"/>
        <v>3.6</v>
      </c>
      <c r="K423" s="1099">
        <f>ROUNDDOWN(D423*C422/100,2)</f>
        <v>0.6</v>
      </c>
      <c r="O423" s="1135">
        <v>12</v>
      </c>
      <c r="P423" s="1126">
        <f>P422</f>
        <v>20</v>
      </c>
      <c r="Q423" s="1128">
        <f t="shared" si="13"/>
        <v>3</v>
      </c>
      <c r="R423" s="1128">
        <f t="shared" si="14"/>
        <v>21.19</v>
      </c>
      <c r="S423" s="1128">
        <f t="shared" si="8"/>
        <v>11</v>
      </c>
      <c r="T423" s="1128">
        <f t="shared" si="9"/>
        <v>0.6</v>
      </c>
      <c r="U423" s="1128">
        <f t="shared" si="10"/>
        <v>1.87</v>
      </c>
      <c r="V423" s="1128">
        <f t="shared" si="11"/>
        <v>3.6</v>
      </c>
      <c r="W423" s="1128">
        <f t="shared" si="12"/>
        <v>0.6</v>
      </c>
    </row>
    <row r="424" spans="2:23" hidden="1">
      <c r="B424" s="976"/>
      <c r="C424" s="1654"/>
      <c r="D424" s="1125">
        <v>3.5</v>
      </c>
      <c r="E424" s="1656">
        <f t="shared" si="4"/>
        <v>23.11</v>
      </c>
      <c r="F424" s="1656"/>
      <c r="G424" s="1113">
        <f t="shared" si="5"/>
        <v>12</v>
      </c>
      <c r="H424" s="1099">
        <f>ROUNDDOWN(D424*C422/100,2)</f>
        <v>0.7</v>
      </c>
      <c r="I424" s="1099">
        <f t="shared" si="6"/>
        <v>2.1800000000000002</v>
      </c>
      <c r="J424" s="1099">
        <f t="shared" si="7"/>
        <v>4.2</v>
      </c>
      <c r="K424" s="1099">
        <f>ROUNDDOWN(D424*C422/100,2)</f>
        <v>0.7</v>
      </c>
      <c r="O424" s="1135">
        <v>13</v>
      </c>
      <c r="P424" s="1126">
        <f>P423</f>
        <v>20</v>
      </c>
      <c r="Q424" s="1128">
        <f t="shared" si="13"/>
        <v>3.5</v>
      </c>
      <c r="R424" s="1128">
        <f t="shared" si="14"/>
        <v>23.11</v>
      </c>
      <c r="S424" s="1128">
        <f t="shared" si="8"/>
        <v>12</v>
      </c>
      <c r="T424" s="1128">
        <f t="shared" si="9"/>
        <v>0.7</v>
      </c>
      <c r="U424" s="1128">
        <f t="shared" si="10"/>
        <v>2.1800000000000002</v>
      </c>
      <c r="V424" s="1128">
        <f t="shared" si="11"/>
        <v>4.2</v>
      </c>
      <c r="W424" s="1128">
        <f t="shared" si="12"/>
        <v>0.7</v>
      </c>
    </row>
    <row r="425" spans="2:23" hidden="1">
      <c r="B425" s="976"/>
      <c r="C425" s="1654"/>
      <c r="D425" s="1125">
        <v>4</v>
      </c>
      <c r="E425" s="1656">
        <f t="shared" si="4"/>
        <v>26.97</v>
      </c>
      <c r="F425" s="1656"/>
      <c r="G425" s="1113">
        <f t="shared" si="5"/>
        <v>14</v>
      </c>
      <c r="H425" s="1099">
        <f>ROUNDDOWN(D425*C422/100,2)</f>
        <v>0.8</v>
      </c>
      <c r="I425" s="1099">
        <f t="shared" si="6"/>
        <v>2.5</v>
      </c>
      <c r="J425" s="1099">
        <f t="shared" si="7"/>
        <v>4.8</v>
      </c>
      <c r="K425" s="1099">
        <f>ROUNDDOWN(D425*C422/100,2)</f>
        <v>0.8</v>
      </c>
      <c r="O425" s="1135">
        <v>14</v>
      </c>
      <c r="P425" s="1126">
        <f>P424</f>
        <v>20</v>
      </c>
      <c r="Q425" s="1128">
        <f t="shared" si="13"/>
        <v>4</v>
      </c>
      <c r="R425" s="1128">
        <f t="shared" si="14"/>
        <v>26.97</v>
      </c>
      <c r="S425" s="1128">
        <f t="shared" si="8"/>
        <v>14</v>
      </c>
      <c r="T425" s="1128">
        <f t="shared" si="9"/>
        <v>0.8</v>
      </c>
      <c r="U425" s="1128">
        <f t="shared" si="10"/>
        <v>2.5</v>
      </c>
      <c r="V425" s="1128">
        <f t="shared" si="11"/>
        <v>4.8</v>
      </c>
      <c r="W425" s="1128">
        <f t="shared" si="12"/>
        <v>0.8</v>
      </c>
    </row>
    <row r="426" spans="2:23" hidden="1">
      <c r="B426" s="976"/>
      <c r="C426" s="1655"/>
      <c r="D426" s="1125">
        <v>4.5</v>
      </c>
      <c r="E426" s="1656">
        <f t="shared" si="4"/>
        <v>30.82</v>
      </c>
      <c r="F426" s="1656"/>
      <c r="G426" s="1113">
        <f t="shared" si="5"/>
        <v>16</v>
      </c>
      <c r="H426" s="1099">
        <f>ROUNDDOWN(D426*C422/100,2)</f>
        <v>0.9</v>
      </c>
      <c r="I426" s="1099">
        <f t="shared" si="6"/>
        <v>2.81</v>
      </c>
      <c r="J426" s="1099">
        <f t="shared" si="7"/>
        <v>5.4</v>
      </c>
      <c r="K426" s="1099">
        <f>ROUNDDOWN(D426*C422/100,2)</f>
        <v>0.9</v>
      </c>
      <c r="O426" s="1136">
        <v>15</v>
      </c>
      <c r="P426" s="1130">
        <f>P425</f>
        <v>20</v>
      </c>
      <c r="Q426" s="1132">
        <f t="shared" si="13"/>
        <v>4.5</v>
      </c>
      <c r="R426" s="1132">
        <f t="shared" si="14"/>
        <v>30.82</v>
      </c>
      <c r="S426" s="1132">
        <f t="shared" si="8"/>
        <v>16</v>
      </c>
      <c r="T426" s="1132">
        <f t="shared" si="9"/>
        <v>0.9</v>
      </c>
      <c r="U426" s="1132">
        <f t="shared" si="10"/>
        <v>2.81</v>
      </c>
      <c r="V426" s="1132">
        <f t="shared" si="11"/>
        <v>5.4</v>
      </c>
      <c r="W426" s="1132">
        <f t="shared" si="12"/>
        <v>0.9</v>
      </c>
    </row>
    <row r="427" spans="2:23" hidden="1">
      <c r="B427" s="976"/>
      <c r="C427" s="1653">
        <v>23</v>
      </c>
      <c r="D427" s="1125">
        <v>2.5</v>
      </c>
      <c r="E427" s="1656">
        <f t="shared" si="4"/>
        <v>17.329999999999998</v>
      </c>
      <c r="F427" s="1656"/>
      <c r="G427" s="1113">
        <f t="shared" si="5"/>
        <v>9</v>
      </c>
      <c r="H427" s="1099">
        <f>ROUNDDOWN(D427*C427/100,2)</f>
        <v>0.56999999999999995</v>
      </c>
      <c r="I427" s="1099">
        <f t="shared" si="6"/>
        <v>1.56</v>
      </c>
      <c r="J427" s="1099">
        <f t="shared" si="7"/>
        <v>3</v>
      </c>
      <c r="K427" s="1099">
        <f>ROUNDDOWN(D427*C427/100,2)</f>
        <v>0.56999999999999995</v>
      </c>
      <c r="O427" s="1134">
        <v>16</v>
      </c>
      <c r="P427" s="1121">
        <f>C427</f>
        <v>23</v>
      </c>
      <c r="Q427" s="1123">
        <f t="shared" si="13"/>
        <v>2.5</v>
      </c>
      <c r="R427" s="1123">
        <f t="shared" si="14"/>
        <v>17.329999999999998</v>
      </c>
      <c r="S427" s="1123">
        <f t="shared" si="8"/>
        <v>9</v>
      </c>
      <c r="T427" s="1123">
        <f t="shared" si="9"/>
        <v>0.56999999999999995</v>
      </c>
      <c r="U427" s="1123">
        <f t="shared" si="10"/>
        <v>1.56</v>
      </c>
      <c r="V427" s="1123">
        <f t="shared" si="11"/>
        <v>3</v>
      </c>
      <c r="W427" s="1123">
        <f t="shared" si="12"/>
        <v>0.56999999999999995</v>
      </c>
    </row>
    <row r="428" spans="2:23" hidden="1">
      <c r="B428" s="976"/>
      <c r="C428" s="1654"/>
      <c r="D428" s="1125">
        <v>3</v>
      </c>
      <c r="E428" s="1656">
        <f t="shared" si="4"/>
        <v>21.19</v>
      </c>
      <c r="F428" s="1656"/>
      <c r="G428" s="1113">
        <f t="shared" si="5"/>
        <v>11</v>
      </c>
      <c r="H428" s="1099">
        <f>ROUNDDOWN(D428*C427/100,2)</f>
        <v>0.69</v>
      </c>
      <c r="I428" s="1099">
        <f t="shared" si="6"/>
        <v>1.87</v>
      </c>
      <c r="J428" s="1099">
        <f t="shared" si="7"/>
        <v>3.6</v>
      </c>
      <c r="K428" s="1099">
        <f>ROUNDDOWN(D428*C427/100,2)</f>
        <v>0.69</v>
      </c>
      <c r="O428" s="1135">
        <v>17</v>
      </c>
      <c r="P428" s="1126">
        <f>P427</f>
        <v>23</v>
      </c>
      <c r="Q428" s="1128">
        <f t="shared" si="13"/>
        <v>3</v>
      </c>
      <c r="R428" s="1128">
        <f t="shared" si="14"/>
        <v>21.19</v>
      </c>
      <c r="S428" s="1128">
        <f t="shared" si="8"/>
        <v>11</v>
      </c>
      <c r="T428" s="1128">
        <f t="shared" si="9"/>
        <v>0.69</v>
      </c>
      <c r="U428" s="1128">
        <f t="shared" si="10"/>
        <v>1.87</v>
      </c>
      <c r="V428" s="1128">
        <f t="shared" si="11"/>
        <v>3.6</v>
      </c>
      <c r="W428" s="1128">
        <f t="shared" si="12"/>
        <v>0.69</v>
      </c>
    </row>
    <row r="429" spans="2:23" hidden="1">
      <c r="B429" s="976"/>
      <c r="C429" s="1654"/>
      <c r="D429" s="1125">
        <v>3.5</v>
      </c>
      <c r="E429" s="1656">
        <f t="shared" si="4"/>
        <v>23.11</v>
      </c>
      <c r="F429" s="1656"/>
      <c r="G429" s="1113">
        <f t="shared" si="5"/>
        <v>12</v>
      </c>
      <c r="H429" s="1099">
        <f>ROUNDDOWN(D429*C427/100,2)</f>
        <v>0.8</v>
      </c>
      <c r="I429" s="1099">
        <f t="shared" si="6"/>
        <v>2.1800000000000002</v>
      </c>
      <c r="J429" s="1099">
        <f t="shared" si="7"/>
        <v>4.2</v>
      </c>
      <c r="K429" s="1099">
        <f>ROUNDDOWN(D429*C427/100,2)</f>
        <v>0.8</v>
      </c>
      <c r="O429" s="1135">
        <v>18</v>
      </c>
      <c r="P429" s="1126">
        <f>P428</f>
        <v>23</v>
      </c>
      <c r="Q429" s="1128">
        <f t="shared" si="13"/>
        <v>3.5</v>
      </c>
      <c r="R429" s="1128">
        <f t="shared" si="14"/>
        <v>23.11</v>
      </c>
      <c r="S429" s="1128">
        <f t="shared" si="8"/>
        <v>12</v>
      </c>
      <c r="T429" s="1128">
        <f t="shared" si="9"/>
        <v>0.8</v>
      </c>
      <c r="U429" s="1128">
        <f t="shared" si="10"/>
        <v>2.1800000000000002</v>
      </c>
      <c r="V429" s="1128">
        <f t="shared" si="11"/>
        <v>4.2</v>
      </c>
      <c r="W429" s="1128">
        <f t="shared" si="12"/>
        <v>0.8</v>
      </c>
    </row>
    <row r="430" spans="2:23" hidden="1">
      <c r="B430" s="976"/>
      <c r="C430" s="1654"/>
      <c r="D430" s="1125">
        <v>4</v>
      </c>
      <c r="E430" s="1656">
        <f t="shared" si="4"/>
        <v>26.97</v>
      </c>
      <c r="F430" s="1656"/>
      <c r="G430" s="1113">
        <f t="shared" si="5"/>
        <v>14</v>
      </c>
      <c r="H430" s="1099">
        <f>ROUNDDOWN(D430*C427/100,2)</f>
        <v>0.92</v>
      </c>
      <c r="I430" s="1099">
        <f t="shared" si="6"/>
        <v>2.5</v>
      </c>
      <c r="J430" s="1099">
        <f t="shared" si="7"/>
        <v>4.8</v>
      </c>
      <c r="K430" s="1099">
        <f>ROUNDDOWN(D430*C427/100,2)</f>
        <v>0.92</v>
      </c>
      <c r="O430" s="1135">
        <v>19</v>
      </c>
      <c r="P430" s="1126">
        <f>P429</f>
        <v>23</v>
      </c>
      <c r="Q430" s="1128">
        <f t="shared" si="13"/>
        <v>4</v>
      </c>
      <c r="R430" s="1128">
        <f t="shared" si="14"/>
        <v>26.97</v>
      </c>
      <c r="S430" s="1128">
        <f t="shared" si="8"/>
        <v>14</v>
      </c>
      <c r="T430" s="1128">
        <f t="shared" si="9"/>
        <v>0.92</v>
      </c>
      <c r="U430" s="1128">
        <f t="shared" si="10"/>
        <v>2.5</v>
      </c>
      <c r="V430" s="1128">
        <f t="shared" si="11"/>
        <v>4.8</v>
      </c>
      <c r="W430" s="1128">
        <f t="shared" si="12"/>
        <v>0.92</v>
      </c>
    </row>
    <row r="431" spans="2:23" hidden="1">
      <c r="B431" s="976"/>
      <c r="C431" s="1655"/>
      <c r="D431" s="1125">
        <v>4.5</v>
      </c>
      <c r="E431" s="1656">
        <f t="shared" si="4"/>
        <v>30.82</v>
      </c>
      <c r="F431" s="1656"/>
      <c r="G431" s="1113">
        <f t="shared" si="5"/>
        <v>16</v>
      </c>
      <c r="H431" s="1099">
        <f>ROUNDDOWN(D431*C427/100,2)</f>
        <v>1.03</v>
      </c>
      <c r="I431" s="1099">
        <f t="shared" si="6"/>
        <v>2.81</v>
      </c>
      <c r="J431" s="1099">
        <f t="shared" si="7"/>
        <v>5.4</v>
      </c>
      <c r="K431" s="1099">
        <f>ROUNDDOWN(D431*C427/100,2)</f>
        <v>1.03</v>
      </c>
      <c r="O431" s="1136">
        <v>20</v>
      </c>
      <c r="P431" s="1130">
        <f>P430</f>
        <v>23</v>
      </c>
      <c r="Q431" s="1132">
        <f t="shared" si="13"/>
        <v>4.5</v>
      </c>
      <c r="R431" s="1132">
        <f t="shared" si="14"/>
        <v>30.82</v>
      </c>
      <c r="S431" s="1132">
        <f t="shared" si="8"/>
        <v>16</v>
      </c>
      <c r="T431" s="1132">
        <f t="shared" si="9"/>
        <v>1.03</v>
      </c>
      <c r="U431" s="1132">
        <f t="shared" si="10"/>
        <v>2.81</v>
      </c>
      <c r="V431" s="1132">
        <f t="shared" si="11"/>
        <v>5.4</v>
      </c>
      <c r="W431" s="1132">
        <f t="shared" si="12"/>
        <v>1.03</v>
      </c>
    </row>
    <row r="432" spans="2:23" hidden="1">
      <c r="B432" s="976"/>
      <c r="C432" s="1653">
        <v>25</v>
      </c>
      <c r="D432" s="1125">
        <v>2.5</v>
      </c>
      <c r="E432" s="1656">
        <f t="shared" si="4"/>
        <v>17.329999999999998</v>
      </c>
      <c r="F432" s="1656"/>
      <c r="G432" s="1113">
        <f t="shared" si="5"/>
        <v>9</v>
      </c>
      <c r="H432" s="1099">
        <f>ROUNDDOWN(D432*C432/100,2)</f>
        <v>0.62</v>
      </c>
      <c r="I432" s="1099">
        <f t="shared" si="6"/>
        <v>1.56</v>
      </c>
      <c r="J432" s="1099">
        <f t="shared" si="7"/>
        <v>3</v>
      </c>
      <c r="K432" s="1099">
        <f>ROUNDDOWN(D432*C432/100,2)</f>
        <v>0.62</v>
      </c>
      <c r="O432" s="1134">
        <v>21</v>
      </c>
      <c r="P432" s="1121">
        <f>C432</f>
        <v>25</v>
      </c>
      <c r="Q432" s="1123">
        <f t="shared" si="13"/>
        <v>2.5</v>
      </c>
      <c r="R432" s="1123">
        <f t="shared" si="14"/>
        <v>17.329999999999998</v>
      </c>
      <c r="S432" s="1123">
        <f t="shared" si="8"/>
        <v>9</v>
      </c>
      <c r="T432" s="1123">
        <f t="shared" si="9"/>
        <v>0.62</v>
      </c>
      <c r="U432" s="1123">
        <f t="shared" si="10"/>
        <v>1.56</v>
      </c>
      <c r="V432" s="1123">
        <f t="shared" si="11"/>
        <v>3</v>
      </c>
      <c r="W432" s="1123">
        <f t="shared" si="12"/>
        <v>0.62</v>
      </c>
    </row>
    <row r="433" spans="2:23" hidden="1">
      <c r="B433" s="976"/>
      <c r="C433" s="1654"/>
      <c r="D433" s="1125">
        <v>3</v>
      </c>
      <c r="E433" s="1656">
        <f t="shared" si="4"/>
        <v>21.19</v>
      </c>
      <c r="F433" s="1656"/>
      <c r="G433" s="1113">
        <f t="shared" si="5"/>
        <v>11</v>
      </c>
      <c r="H433" s="1099">
        <f>ROUNDDOWN(D433*C432/100,2)</f>
        <v>0.75</v>
      </c>
      <c r="I433" s="1099">
        <f t="shared" si="6"/>
        <v>1.87</v>
      </c>
      <c r="J433" s="1099">
        <f t="shared" si="7"/>
        <v>3.6</v>
      </c>
      <c r="K433" s="1099">
        <f>ROUNDDOWN(D433*C432/100,2)</f>
        <v>0.75</v>
      </c>
      <c r="O433" s="1135">
        <v>22</v>
      </c>
      <c r="P433" s="1126">
        <f>P432</f>
        <v>25</v>
      </c>
      <c r="Q433" s="1128">
        <f t="shared" si="13"/>
        <v>3</v>
      </c>
      <c r="R433" s="1128">
        <f t="shared" si="14"/>
        <v>21.19</v>
      </c>
      <c r="S433" s="1128">
        <f t="shared" si="8"/>
        <v>11</v>
      </c>
      <c r="T433" s="1128">
        <f t="shared" si="9"/>
        <v>0.75</v>
      </c>
      <c r="U433" s="1128">
        <f t="shared" si="10"/>
        <v>1.87</v>
      </c>
      <c r="V433" s="1128">
        <f t="shared" si="11"/>
        <v>3.6</v>
      </c>
      <c r="W433" s="1128">
        <f t="shared" si="12"/>
        <v>0.75</v>
      </c>
    </row>
    <row r="434" spans="2:23" hidden="1">
      <c r="B434" s="976"/>
      <c r="C434" s="1654"/>
      <c r="D434" s="1125">
        <v>3.5</v>
      </c>
      <c r="E434" s="1656">
        <f t="shared" si="4"/>
        <v>23.11</v>
      </c>
      <c r="F434" s="1656"/>
      <c r="G434" s="1113">
        <f t="shared" si="5"/>
        <v>12</v>
      </c>
      <c r="H434" s="1099">
        <f>ROUNDDOWN(D434*C432/100,2)</f>
        <v>0.87</v>
      </c>
      <c r="I434" s="1099">
        <f t="shared" si="6"/>
        <v>2.1800000000000002</v>
      </c>
      <c r="J434" s="1099">
        <f t="shared" si="7"/>
        <v>4.2</v>
      </c>
      <c r="K434" s="1099">
        <f>ROUNDDOWN(D434*C432/100,2)</f>
        <v>0.87</v>
      </c>
      <c r="O434" s="1135">
        <v>23</v>
      </c>
      <c r="P434" s="1126">
        <f>P433</f>
        <v>25</v>
      </c>
      <c r="Q434" s="1128">
        <f t="shared" si="13"/>
        <v>3.5</v>
      </c>
      <c r="R434" s="1128">
        <f t="shared" si="14"/>
        <v>23.11</v>
      </c>
      <c r="S434" s="1128">
        <f t="shared" si="8"/>
        <v>12</v>
      </c>
      <c r="T434" s="1128">
        <f t="shared" si="9"/>
        <v>0.87</v>
      </c>
      <c r="U434" s="1128">
        <f t="shared" si="10"/>
        <v>2.1800000000000002</v>
      </c>
      <c r="V434" s="1128">
        <f t="shared" si="11"/>
        <v>4.2</v>
      </c>
      <c r="W434" s="1128">
        <f t="shared" si="12"/>
        <v>0.87</v>
      </c>
    </row>
    <row r="435" spans="2:23" hidden="1">
      <c r="B435" s="976"/>
      <c r="C435" s="1654"/>
      <c r="D435" s="1125">
        <v>4</v>
      </c>
      <c r="E435" s="1656">
        <f t="shared" si="4"/>
        <v>26.97</v>
      </c>
      <c r="F435" s="1656"/>
      <c r="G435" s="1113">
        <f t="shared" si="5"/>
        <v>14</v>
      </c>
      <c r="H435" s="1099">
        <f>ROUNDDOWN(D435*C432/100,2)</f>
        <v>1</v>
      </c>
      <c r="I435" s="1099">
        <f t="shared" si="6"/>
        <v>2.5</v>
      </c>
      <c r="J435" s="1099">
        <f t="shared" si="7"/>
        <v>4.8</v>
      </c>
      <c r="K435" s="1099">
        <f>ROUNDDOWN(D435*C432/100,2)</f>
        <v>1</v>
      </c>
      <c r="O435" s="1135">
        <v>24</v>
      </c>
      <c r="P435" s="1126">
        <f>P434</f>
        <v>25</v>
      </c>
      <c r="Q435" s="1128">
        <f t="shared" si="13"/>
        <v>4</v>
      </c>
      <c r="R435" s="1128">
        <f t="shared" si="14"/>
        <v>26.97</v>
      </c>
      <c r="S435" s="1128">
        <f t="shared" si="8"/>
        <v>14</v>
      </c>
      <c r="T435" s="1128">
        <f t="shared" si="9"/>
        <v>1</v>
      </c>
      <c r="U435" s="1128">
        <f t="shared" si="10"/>
        <v>2.5</v>
      </c>
      <c r="V435" s="1128">
        <f t="shared" si="11"/>
        <v>4.8</v>
      </c>
      <c r="W435" s="1128">
        <f t="shared" si="12"/>
        <v>1</v>
      </c>
    </row>
    <row r="436" spans="2:23" hidden="1">
      <c r="B436" s="976"/>
      <c r="C436" s="1655"/>
      <c r="D436" s="1125">
        <v>4.5</v>
      </c>
      <c r="E436" s="1656">
        <f t="shared" si="4"/>
        <v>30.82</v>
      </c>
      <c r="F436" s="1656"/>
      <c r="G436" s="1113">
        <f t="shared" si="5"/>
        <v>16</v>
      </c>
      <c r="H436" s="1099">
        <f>ROUNDDOWN(D436*C432/100,2)</f>
        <v>1.1200000000000001</v>
      </c>
      <c r="I436" s="1099">
        <f t="shared" si="6"/>
        <v>2.81</v>
      </c>
      <c r="J436" s="1099">
        <f t="shared" si="7"/>
        <v>5.4</v>
      </c>
      <c r="K436" s="1099">
        <f>ROUNDDOWN(D436*C432/100,2)</f>
        <v>1.1200000000000001</v>
      </c>
      <c r="O436" s="1136">
        <v>25</v>
      </c>
      <c r="P436" s="1130">
        <f>P435</f>
        <v>25</v>
      </c>
      <c r="Q436" s="1132">
        <f t="shared" si="13"/>
        <v>4.5</v>
      </c>
      <c r="R436" s="1132">
        <f t="shared" si="14"/>
        <v>30.82</v>
      </c>
      <c r="S436" s="1132">
        <f t="shared" si="8"/>
        <v>16</v>
      </c>
      <c r="T436" s="1132">
        <f t="shared" si="9"/>
        <v>1.1200000000000001</v>
      </c>
      <c r="U436" s="1132">
        <f t="shared" si="10"/>
        <v>2.81</v>
      </c>
      <c r="V436" s="1132">
        <f t="shared" si="11"/>
        <v>5.4</v>
      </c>
      <c r="W436" s="1132">
        <f t="shared" si="12"/>
        <v>1.1200000000000001</v>
      </c>
    </row>
    <row r="437" spans="2:23" hidden="1">
      <c r="B437" s="976"/>
      <c r="C437" s="684" t="s">
        <v>815</v>
      </c>
      <c r="D437" s="684" t="s">
        <v>816</v>
      </c>
      <c r="E437" s="684"/>
      <c r="F437" s="684"/>
      <c r="G437" s="684" t="s">
        <v>817</v>
      </c>
      <c r="H437" s="684"/>
      <c r="I437" s="684"/>
      <c r="J437" s="684"/>
      <c r="K437" s="684"/>
      <c r="L437" s="684"/>
      <c r="M437" s="684"/>
      <c r="N437" s="684"/>
    </row>
    <row r="438" spans="2:23" hidden="1">
      <c r="B438" s="976"/>
      <c r="C438" s="684" t="s">
        <v>818</v>
      </c>
      <c r="D438" s="684" t="s">
        <v>819</v>
      </c>
      <c r="E438" s="684"/>
      <c r="F438" s="684"/>
      <c r="G438" s="684" t="s">
        <v>820</v>
      </c>
      <c r="H438" s="684"/>
      <c r="I438" s="684"/>
      <c r="J438" s="684"/>
      <c r="K438" s="684"/>
      <c r="L438" s="684"/>
      <c r="M438" s="684"/>
      <c r="N438" s="684"/>
    </row>
    <row r="439" spans="2:23" hidden="1">
      <c r="B439" s="976"/>
      <c r="C439" s="684" t="s">
        <v>821</v>
      </c>
      <c r="D439" s="684" t="s">
        <v>822</v>
      </c>
      <c r="E439" s="684"/>
      <c r="F439" s="684"/>
      <c r="G439" s="684" t="s">
        <v>823</v>
      </c>
      <c r="H439" s="684"/>
      <c r="I439" s="684"/>
      <c r="J439" s="684"/>
      <c r="K439" s="684"/>
      <c r="L439" s="684"/>
      <c r="M439" s="684"/>
      <c r="N439" s="684"/>
    </row>
    <row r="440" spans="2:23" hidden="1">
      <c r="B440" s="976"/>
      <c r="C440" s="684" t="s">
        <v>824</v>
      </c>
      <c r="D440" s="684" t="s">
        <v>825</v>
      </c>
      <c r="E440" s="684"/>
      <c r="F440" s="684"/>
      <c r="G440" s="684" t="s">
        <v>817</v>
      </c>
      <c r="H440" s="684"/>
      <c r="I440" s="684"/>
      <c r="J440" s="684"/>
      <c r="K440" s="684"/>
      <c r="L440" s="684"/>
      <c r="M440" s="684"/>
      <c r="N440" s="684"/>
    </row>
    <row r="441" spans="2:23" hidden="1">
      <c r="B441" s="976"/>
      <c r="C441" s="684" t="s">
        <v>826</v>
      </c>
      <c r="D441" s="684"/>
      <c r="E441" s="684"/>
      <c r="F441" s="684"/>
      <c r="G441" s="684"/>
      <c r="H441" s="684"/>
      <c r="I441" s="684"/>
      <c r="J441" s="684"/>
      <c r="K441" s="684"/>
      <c r="L441" s="684"/>
      <c r="M441" s="684"/>
      <c r="N441" s="684"/>
    </row>
    <row r="442" spans="2:23" hidden="1">
      <c r="B442" s="976"/>
      <c r="C442" s="976"/>
      <c r="D442" s="976"/>
      <c r="E442" s="976"/>
      <c r="F442" s="1037"/>
      <c r="G442" s="738"/>
      <c r="H442" s="745"/>
      <c r="I442" s="976"/>
      <c r="J442" s="976"/>
      <c r="K442" s="976"/>
    </row>
    <row r="443" spans="2:23" hidden="1">
      <c r="B443" s="1001" t="str">
        <f>ปร.4_1!C45</f>
        <v>2.6.3</v>
      </c>
      <c r="C443" s="1137" t="str">
        <f>ปร.4_1!D45</f>
        <v>Contraction  Joint</v>
      </c>
      <c r="D443" s="976"/>
      <c r="E443" s="976"/>
      <c r="F443" s="1037"/>
      <c r="G443" s="738"/>
      <c r="H443" s="745"/>
      <c r="I443" s="976"/>
      <c r="J443" s="976"/>
      <c r="K443" s="976"/>
    </row>
    <row r="444" spans="2:23" hidden="1">
      <c r="B444" s="976"/>
      <c r="C444" s="1071" t="s">
        <v>508</v>
      </c>
      <c r="D444" s="976"/>
      <c r="E444" s="1041"/>
      <c r="F444" s="738"/>
      <c r="G444" s="738"/>
      <c r="H444" s="745"/>
      <c r="I444" s="738" t="s">
        <v>190</v>
      </c>
      <c r="J444" s="1097">
        <f>IF(H350=0,2.5,H350)</f>
        <v>2.5</v>
      </c>
      <c r="K444" s="1011" t="s">
        <v>17</v>
      </c>
      <c r="L444" s="1012" t="s">
        <v>193</v>
      </c>
    </row>
    <row r="445" spans="2:23" hidden="1">
      <c r="B445" s="976"/>
      <c r="C445" s="1071" t="s">
        <v>827</v>
      </c>
      <c r="D445" s="976"/>
      <c r="E445" s="976"/>
      <c r="F445" s="1097">
        <f>IF($P$453=0,0,VLOOKUP($O$453,$O$457:$V$481,4))</f>
        <v>17.329999999999998</v>
      </c>
      <c r="G445" s="1016" t="s">
        <v>242</v>
      </c>
      <c r="H445" s="1097">
        <f>J1354</f>
        <v>23.68</v>
      </c>
      <c r="I445" s="738" t="s">
        <v>190</v>
      </c>
      <c r="J445" s="1097">
        <f>H445*F445</f>
        <v>410.37439999999998</v>
      </c>
      <c r="K445" s="1011" t="s">
        <v>238</v>
      </c>
      <c r="L445" s="1012" t="s">
        <v>234</v>
      </c>
    </row>
    <row r="446" spans="2:23" hidden="1">
      <c r="B446" s="976"/>
      <c r="C446" s="1071" t="s">
        <v>509</v>
      </c>
      <c r="D446" s="976"/>
      <c r="E446" s="976"/>
      <c r="F446" s="1097">
        <f>J444</f>
        <v>2.5</v>
      </c>
      <c r="G446" s="1016" t="s">
        <v>243</v>
      </c>
      <c r="H446" s="1097">
        <f>ค่าดำเนินการ!H61</f>
        <v>22.06</v>
      </c>
      <c r="I446" s="738" t="s">
        <v>190</v>
      </c>
      <c r="J446" s="1097">
        <f>H446*F446</f>
        <v>55.15</v>
      </c>
      <c r="K446" s="1011" t="s">
        <v>238</v>
      </c>
      <c r="L446" s="1012" t="s">
        <v>831</v>
      </c>
    </row>
    <row r="447" spans="2:23" hidden="1">
      <c r="B447" s="976"/>
      <c r="C447" s="1071" t="s">
        <v>634</v>
      </c>
      <c r="D447" s="976"/>
      <c r="E447" s="976"/>
      <c r="F447" s="1097">
        <f>IF($P$453=0,0,VLOOKUP($O$453,$O$457:$V$481,6))</f>
        <v>9</v>
      </c>
      <c r="G447" s="1016" t="s">
        <v>635</v>
      </c>
      <c r="H447" s="1097">
        <v>4</v>
      </c>
      <c r="I447" s="738" t="s">
        <v>190</v>
      </c>
      <c r="J447" s="1097">
        <f>H447*F447</f>
        <v>36</v>
      </c>
      <c r="K447" s="1011" t="s">
        <v>238</v>
      </c>
      <c r="L447" s="1012" t="s">
        <v>244</v>
      </c>
    </row>
    <row r="448" spans="2:23" hidden="1">
      <c r="B448" s="976"/>
      <c r="C448" s="1071" t="s">
        <v>510</v>
      </c>
      <c r="D448" s="976"/>
      <c r="E448" s="976"/>
      <c r="F448" s="1097">
        <f>IF($P$453=0,0,VLOOKUP($O$453,$O$457:$V$481,7))</f>
        <v>0.93</v>
      </c>
      <c r="G448" s="1016" t="s">
        <v>245</v>
      </c>
      <c r="H448" s="1097">
        <v>45</v>
      </c>
      <c r="I448" s="738" t="s">
        <v>190</v>
      </c>
      <c r="J448" s="1097">
        <f>H448*F448</f>
        <v>41.85</v>
      </c>
      <c r="K448" s="1011" t="s">
        <v>238</v>
      </c>
      <c r="L448" s="1012" t="s">
        <v>236</v>
      </c>
    </row>
    <row r="449" spans="2:23" hidden="1">
      <c r="B449" s="976"/>
      <c r="C449" s="1071" t="s">
        <v>631</v>
      </c>
      <c r="D449" s="976"/>
      <c r="E449" s="976"/>
      <c r="F449" s="1097">
        <f>IF($P$453=0,0,VLOOKUP($O$453,$O$457:$V$481,8))</f>
        <v>3</v>
      </c>
      <c r="G449" s="1016" t="s">
        <v>243</v>
      </c>
      <c r="H449" s="1097">
        <v>10</v>
      </c>
      <c r="I449" s="738" t="s">
        <v>190</v>
      </c>
      <c r="J449" s="1097">
        <f>H449*F449</f>
        <v>30</v>
      </c>
      <c r="K449" s="1011" t="s">
        <v>238</v>
      </c>
      <c r="L449" s="1012" t="s">
        <v>249</v>
      </c>
    </row>
    <row r="450" spans="2:23" hidden="1">
      <c r="B450" s="976"/>
      <c r="C450" s="1071" t="s">
        <v>233</v>
      </c>
      <c r="D450" s="976"/>
      <c r="E450" s="976"/>
      <c r="F450" s="1097"/>
      <c r="G450" s="745"/>
      <c r="H450" s="1097"/>
      <c r="I450" s="738" t="s">
        <v>190</v>
      </c>
      <c r="J450" s="1067">
        <f>SUM(J445:J449)</f>
        <v>573.37439999999992</v>
      </c>
      <c r="K450" s="1011" t="s">
        <v>238</v>
      </c>
      <c r="L450" s="1012" t="s">
        <v>636</v>
      </c>
    </row>
    <row r="451" spans="2:23" ht="22.5" hidden="1" thickBot="1">
      <c r="B451" s="976"/>
      <c r="C451" s="1071" t="s">
        <v>195</v>
      </c>
      <c r="D451" s="976"/>
      <c r="E451" s="976"/>
      <c r="F451" s="1097">
        <f>J450</f>
        <v>573.37439999999992</v>
      </c>
      <c r="G451" s="1001" t="s">
        <v>241</v>
      </c>
      <c r="H451" s="1097">
        <f>J444</f>
        <v>2.5</v>
      </c>
      <c r="I451" s="738" t="s">
        <v>190</v>
      </c>
      <c r="J451" s="1025">
        <f>IF(J444=0,0,ROUNDDOWN(J450/H451,2))</f>
        <v>229.34</v>
      </c>
      <c r="K451" s="1011" t="s">
        <v>252</v>
      </c>
      <c r="L451" s="1012" t="s">
        <v>637</v>
      </c>
    </row>
    <row r="452" spans="2:23" ht="22.5" hidden="1" thickTop="1">
      <c r="B452" s="976"/>
      <c r="C452" s="976"/>
      <c r="D452" s="976"/>
      <c r="E452" s="976"/>
      <c r="F452" s="1037"/>
      <c r="G452" s="738"/>
      <c r="H452" s="745"/>
      <c r="I452" s="976"/>
      <c r="J452" s="976"/>
      <c r="K452" s="976"/>
      <c r="O452" s="1111" t="s">
        <v>1054</v>
      </c>
      <c r="P452" s="1111" t="s">
        <v>493</v>
      </c>
      <c r="Q452" s="1112" t="s">
        <v>1053</v>
      </c>
      <c r="R452" s="1139"/>
      <c r="S452" s="1140"/>
      <c r="W452" s="1139"/>
    </row>
    <row r="453" spans="2:23" hidden="1">
      <c r="B453" s="976"/>
      <c r="C453" s="1034" t="s">
        <v>3</v>
      </c>
      <c r="D453" s="976"/>
      <c r="E453" s="976"/>
      <c r="F453" s="1037"/>
      <c r="G453" s="738"/>
      <c r="H453" s="745"/>
      <c r="I453" s="976"/>
      <c r="J453" s="976"/>
      <c r="K453" s="976"/>
      <c r="O453" s="1141">
        <f>IF(AND(P453=P457,Q453=Q457),O457,IF(AND(P453=P458,Q453=Q458),O458,IF(AND(P453=P459,Q453=Q459),O459,IF(AND(P453=P460,Q453=Q460),O460,IF(AND(P453=P461,Q453=Q461),O461,IF(AND(P453=P462,Q453&lt;=Q462),O462,IF(AND(P453=P463,Q453=Q463),O463,IF(AND(P453=P464,Q453=Q464),O464,IF(AND(P453=P465,Q453=Q465),O465,IF(AND(P453=P466,Q453=Q466),O466,IF(AND(P453=P467,Q453&lt;=Q467),O467,IF(AND(P453=P468,Q453=Q468),O468,IF(AND(P453=P469,Q453=Q469),O469,IF(AND(P453=P470,Q453=Q470),O470,IF(AND(P453=P471,Q453=Q471),O471,IF(AND(P453=P472,Q453&lt;=Q472),O472,IF(AND(P453=P473,Q453=Q473),O473,IF(AND(P453=P474,Q453=Q474),O474,IF(AND(P453=P475,Q453=Q475),O475,IF(AND(P453=P476,Q453=Q476),O476,IF(AND(P453=P477,Q453&lt;=Q477),O477,IF(AND(P453=P478,Q453=Q478),O478,IF(AND(P453=P479,Q453=Q479),O479,IF(AND(P453=P480,Q453=Q480),O480,IF(AND(P453=P481,Q453=Q481),O481,0)))))))))))))))))))))))))</f>
        <v>1</v>
      </c>
      <c r="P453" s="1115">
        <f>IF(H349=0,15,H349)</f>
        <v>15</v>
      </c>
      <c r="Q453" s="1116">
        <f>J444</f>
        <v>2.5</v>
      </c>
      <c r="R453" s="1139"/>
      <c r="S453" s="1140"/>
      <c r="T453" s="1139"/>
      <c r="U453" s="1139"/>
      <c r="V453" s="1139"/>
      <c r="W453" s="1139"/>
    </row>
    <row r="454" spans="2:23" hidden="1">
      <c r="B454" s="976"/>
      <c r="C454" s="1657" t="s">
        <v>1016</v>
      </c>
      <c r="D454" s="1657" t="s">
        <v>1022</v>
      </c>
      <c r="E454" s="1607" t="s">
        <v>1059</v>
      </c>
      <c r="F454" s="1607"/>
      <c r="G454" s="1607" t="s">
        <v>828</v>
      </c>
      <c r="H454" s="1615" t="s">
        <v>829</v>
      </c>
      <c r="I454" s="1607" t="s">
        <v>1062</v>
      </c>
      <c r="J454" s="1607" t="s">
        <v>1063</v>
      </c>
      <c r="K454" s="1142"/>
      <c r="O454" s="1610" t="s">
        <v>1042</v>
      </c>
      <c r="P454" s="1613" t="s">
        <v>1039</v>
      </c>
      <c r="Q454" s="1609" t="s">
        <v>814</v>
      </c>
      <c r="R454" s="1608" t="s">
        <v>1065</v>
      </c>
      <c r="S454" s="1607" t="s">
        <v>828</v>
      </c>
      <c r="T454" s="1615" t="s">
        <v>1066</v>
      </c>
      <c r="U454" s="1607" t="s">
        <v>1062</v>
      </c>
      <c r="V454" s="1607" t="s">
        <v>1063</v>
      </c>
      <c r="W454" s="1142"/>
    </row>
    <row r="455" spans="2:23" hidden="1">
      <c r="B455" s="976"/>
      <c r="C455" s="1658"/>
      <c r="D455" s="1658"/>
      <c r="E455" s="1607"/>
      <c r="F455" s="1607"/>
      <c r="G455" s="1607"/>
      <c r="H455" s="1615"/>
      <c r="I455" s="1607"/>
      <c r="J455" s="1607"/>
      <c r="K455" s="1142"/>
      <c r="O455" s="1611"/>
      <c r="P455" s="1614"/>
      <c r="Q455" s="1609"/>
      <c r="R455" s="1609"/>
      <c r="S455" s="1607"/>
      <c r="T455" s="1615"/>
      <c r="U455" s="1607"/>
      <c r="V455" s="1607"/>
      <c r="W455" s="1142"/>
    </row>
    <row r="456" spans="2:23" hidden="1">
      <c r="B456" s="976"/>
      <c r="C456" s="1658"/>
      <c r="D456" s="1658"/>
      <c r="E456" s="1607"/>
      <c r="F456" s="1607"/>
      <c r="G456" s="1607"/>
      <c r="H456" s="1615"/>
      <c r="I456" s="1607"/>
      <c r="J456" s="1607"/>
      <c r="K456" s="1142"/>
      <c r="O456" s="1612"/>
      <c r="P456" s="1119" t="s">
        <v>585</v>
      </c>
      <c r="Q456" s="1119" t="s">
        <v>744</v>
      </c>
      <c r="R456" s="1609"/>
      <c r="S456" s="1608"/>
      <c r="T456" s="1616"/>
      <c r="U456" s="1608"/>
      <c r="V456" s="1608"/>
      <c r="W456" s="1142"/>
    </row>
    <row r="457" spans="2:23" hidden="1">
      <c r="B457" s="976"/>
      <c r="C457" s="1621">
        <v>15</v>
      </c>
      <c r="D457" s="1125">
        <v>2.5</v>
      </c>
      <c r="E457" s="1656">
        <f t="shared" ref="E457:E481" si="15">ROUNDDOWN((INT(D457/0.3)+1)*0.5*3.853,2)</f>
        <v>17.329999999999998</v>
      </c>
      <c r="F457" s="1656"/>
      <c r="G457" s="1099">
        <f>ROUND(C457/4,2)</f>
        <v>3.75</v>
      </c>
      <c r="H457" s="1099">
        <f t="shared" ref="H457:H481" si="16">(INT(D457/0.3)+1)</f>
        <v>9</v>
      </c>
      <c r="I457" s="1099">
        <f t="shared" ref="I457:I481" si="17">ROUNDDOWN(D457*0.01*G457/100*1000,2)</f>
        <v>0.93</v>
      </c>
      <c r="J457" s="1099">
        <f t="shared" ref="J457:J481" si="18">ROUNDDOWN(D457*(0.6+0.6),2)</f>
        <v>3</v>
      </c>
      <c r="K457" s="1143"/>
      <c r="O457" s="1121">
        <v>1</v>
      </c>
      <c r="P457" s="1121">
        <f>C457</f>
        <v>15</v>
      </c>
      <c r="Q457" s="1124">
        <f>D457</f>
        <v>2.5</v>
      </c>
      <c r="R457" s="1100">
        <f>E457</f>
        <v>17.329999999999998</v>
      </c>
      <c r="S457" s="1118">
        <f t="shared" ref="S457:S481" si="19">G457</f>
        <v>3.75</v>
      </c>
      <c r="T457" s="1118">
        <f t="shared" ref="T457:T481" si="20">H457</f>
        <v>9</v>
      </c>
      <c r="U457" s="1118">
        <f t="shared" ref="U457:U481" si="21">I457</f>
        <v>0.93</v>
      </c>
      <c r="V457" s="1118">
        <f t="shared" ref="V457:V481" si="22">J457</f>
        <v>3</v>
      </c>
      <c r="W457" s="1143"/>
    </row>
    <row r="458" spans="2:23" hidden="1">
      <c r="B458" s="976"/>
      <c r="C458" s="1621"/>
      <c r="D458" s="1125">
        <v>3</v>
      </c>
      <c r="E458" s="1656">
        <f t="shared" si="15"/>
        <v>21.19</v>
      </c>
      <c r="F458" s="1656"/>
      <c r="G458" s="1099">
        <f>ROUND(C457/4,2)</f>
        <v>3.75</v>
      </c>
      <c r="H458" s="1099">
        <f t="shared" si="16"/>
        <v>11</v>
      </c>
      <c r="I458" s="1099">
        <f t="shared" si="17"/>
        <v>1.1200000000000001</v>
      </c>
      <c r="J458" s="1099">
        <f t="shared" si="18"/>
        <v>3.6</v>
      </c>
      <c r="K458" s="1143"/>
      <c r="O458" s="1126">
        <v>2</v>
      </c>
      <c r="P458" s="1126">
        <f>P457</f>
        <v>15</v>
      </c>
      <c r="Q458" s="1129">
        <f>D458</f>
        <v>3</v>
      </c>
      <c r="R458" s="1144">
        <f>E458</f>
        <v>21.19</v>
      </c>
      <c r="S458" s="1145">
        <f t="shared" si="19"/>
        <v>3.75</v>
      </c>
      <c r="T458" s="1145">
        <f t="shared" si="20"/>
        <v>11</v>
      </c>
      <c r="U458" s="1145">
        <f t="shared" si="21"/>
        <v>1.1200000000000001</v>
      </c>
      <c r="V458" s="1145">
        <f t="shared" si="22"/>
        <v>3.6</v>
      </c>
      <c r="W458" s="1143"/>
    </row>
    <row r="459" spans="2:23" hidden="1">
      <c r="B459" s="976"/>
      <c r="C459" s="1621"/>
      <c r="D459" s="1125">
        <v>3.5</v>
      </c>
      <c r="E459" s="1656">
        <f t="shared" si="15"/>
        <v>23.11</v>
      </c>
      <c r="F459" s="1656"/>
      <c r="G459" s="1099">
        <f>ROUND(C457/4,2)</f>
        <v>3.75</v>
      </c>
      <c r="H459" s="1099">
        <f t="shared" si="16"/>
        <v>12</v>
      </c>
      <c r="I459" s="1099">
        <f t="shared" si="17"/>
        <v>1.31</v>
      </c>
      <c r="J459" s="1099">
        <f t="shared" si="18"/>
        <v>4.2</v>
      </c>
      <c r="K459" s="1143"/>
      <c r="O459" s="1126">
        <v>3</v>
      </c>
      <c r="P459" s="1126">
        <f>P458</f>
        <v>15</v>
      </c>
      <c r="Q459" s="1129">
        <f t="shared" ref="Q459:Q481" si="23">D459</f>
        <v>3.5</v>
      </c>
      <c r="R459" s="1144">
        <f t="shared" ref="R459:R481" si="24">E459</f>
        <v>23.11</v>
      </c>
      <c r="S459" s="1145">
        <f t="shared" si="19"/>
        <v>3.75</v>
      </c>
      <c r="T459" s="1145">
        <f t="shared" si="20"/>
        <v>12</v>
      </c>
      <c r="U459" s="1145">
        <f t="shared" si="21"/>
        <v>1.31</v>
      </c>
      <c r="V459" s="1145">
        <f t="shared" si="22"/>
        <v>4.2</v>
      </c>
      <c r="W459" s="1143"/>
    </row>
    <row r="460" spans="2:23" hidden="1">
      <c r="B460" s="976"/>
      <c r="C460" s="1621"/>
      <c r="D460" s="1125">
        <v>4</v>
      </c>
      <c r="E460" s="1656">
        <f t="shared" si="15"/>
        <v>26.97</v>
      </c>
      <c r="F460" s="1656"/>
      <c r="G460" s="1099">
        <f>ROUND(C457/4,2)</f>
        <v>3.75</v>
      </c>
      <c r="H460" s="1099">
        <f t="shared" si="16"/>
        <v>14</v>
      </c>
      <c r="I460" s="1099">
        <f t="shared" si="17"/>
        <v>1.5</v>
      </c>
      <c r="J460" s="1099">
        <f t="shared" si="18"/>
        <v>4.8</v>
      </c>
      <c r="K460" s="1143"/>
      <c r="O460" s="1126">
        <v>4</v>
      </c>
      <c r="P460" s="1126">
        <f>P459</f>
        <v>15</v>
      </c>
      <c r="Q460" s="1129">
        <f t="shared" si="23"/>
        <v>4</v>
      </c>
      <c r="R460" s="1144">
        <f t="shared" si="24"/>
        <v>26.97</v>
      </c>
      <c r="S460" s="1145">
        <f t="shared" si="19"/>
        <v>3.75</v>
      </c>
      <c r="T460" s="1145">
        <f t="shared" si="20"/>
        <v>14</v>
      </c>
      <c r="U460" s="1145">
        <f t="shared" si="21"/>
        <v>1.5</v>
      </c>
      <c r="V460" s="1145">
        <f t="shared" si="22"/>
        <v>4.8</v>
      </c>
      <c r="W460" s="1143"/>
    </row>
    <row r="461" spans="2:23" hidden="1">
      <c r="B461" s="976"/>
      <c r="C461" s="1621"/>
      <c r="D461" s="1125">
        <v>4.5</v>
      </c>
      <c r="E461" s="1656">
        <f t="shared" si="15"/>
        <v>30.82</v>
      </c>
      <c r="F461" s="1656"/>
      <c r="G461" s="1099">
        <f>ROUND(C457/4,2)</f>
        <v>3.75</v>
      </c>
      <c r="H461" s="1099">
        <f t="shared" si="16"/>
        <v>16</v>
      </c>
      <c r="I461" s="1099">
        <f t="shared" si="17"/>
        <v>1.68</v>
      </c>
      <c r="J461" s="1099">
        <f t="shared" si="18"/>
        <v>5.4</v>
      </c>
      <c r="K461" s="1143"/>
      <c r="O461" s="1130">
        <v>5</v>
      </c>
      <c r="P461" s="1130">
        <f>P460</f>
        <v>15</v>
      </c>
      <c r="Q461" s="1133">
        <f t="shared" si="23"/>
        <v>4.5</v>
      </c>
      <c r="R461" s="1103">
        <f t="shared" si="24"/>
        <v>30.82</v>
      </c>
      <c r="S461" s="1146">
        <f t="shared" si="19"/>
        <v>3.75</v>
      </c>
      <c r="T461" s="1146">
        <f t="shared" si="20"/>
        <v>16</v>
      </c>
      <c r="U461" s="1146">
        <f t="shared" si="21"/>
        <v>1.68</v>
      </c>
      <c r="V461" s="1146">
        <f t="shared" si="22"/>
        <v>5.4</v>
      </c>
      <c r="W461" s="1143"/>
    </row>
    <row r="462" spans="2:23" hidden="1">
      <c r="B462" s="976"/>
      <c r="C462" s="1621">
        <v>18</v>
      </c>
      <c r="D462" s="1125">
        <v>2.5</v>
      </c>
      <c r="E462" s="1656">
        <f t="shared" si="15"/>
        <v>17.329999999999998</v>
      </c>
      <c r="F462" s="1656"/>
      <c r="G462" s="1099">
        <f>ROUND(C462/4,2)</f>
        <v>4.5</v>
      </c>
      <c r="H462" s="1099">
        <f t="shared" si="16"/>
        <v>9</v>
      </c>
      <c r="I462" s="1099">
        <f t="shared" si="17"/>
        <v>1.1200000000000001</v>
      </c>
      <c r="J462" s="1099">
        <f t="shared" si="18"/>
        <v>3</v>
      </c>
      <c r="K462" s="1143"/>
      <c r="O462" s="1134">
        <v>6</v>
      </c>
      <c r="P462" s="1121">
        <f>C462</f>
        <v>18</v>
      </c>
      <c r="Q462" s="1124">
        <f t="shared" si="23"/>
        <v>2.5</v>
      </c>
      <c r="R462" s="1100">
        <f t="shared" si="24"/>
        <v>17.329999999999998</v>
      </c>
      <c r="S462" s="1118">
        <f t="shared" si="19"/>
        <v>4.5</v>
      </c>
      <c r="T462" s="1118">
        <f t="shared" si="20"/>
        <v>9</v>
      </c>
      <c r="U462" s="1118">
        <f t="shared" si="21"/>
        <v>1.1200000000000001</v>
      </c>
      <c r="V462" s="1118">
        <f t="shared" si="22"/>
        <v>3</v>
      </c>
      <c r="W462" s="1143"/>
    </row>
    <row r="463" spans="2:23" hidden="1">
      <c r="B463" s="976"/>
      <c r="C463" s="1621"/>
      <c r="D463" s="1125">
        <v>3</v>
      </c>
      <c r="E463" s="1656">
        <f t="shared" si="15"/>
        <v>21.19</v>
      </c>
      <c r="F463" s="1656"/>
      <c r="G463" s="1099">
        <f>ROUND(C462/4,2)</f>
        <v>4.5</v>
      </c>
      <c r="H463" s="1099">
        <f t="shared" si="16"/>
        <v>11</v>
      </c>
      <c r="I463" s="1099">
        <f t="shared" si="17"/>
        <v>1.35</v>
      </c>
      <c r="J463" s="1099">
        <f t="shared" si="18"/>
        <v>3.6</v>
      </c>
      <c r="K463" s="1143"/>
      <c r="O463" s="1135">
        <v>7</v>
      </c>
      <c r="P463" s="1126">
        <f>P462</f>
        <v>18</v>
      </c>
      <c r="Q463" s="1129">
        <f t="shared" si="23"/>
        <v>3</v>
      </c>
      <c r="R463" s="1144">
        <f t="shared" si="24"/>
        <v>21.19</v>
      </c>
      <c r="S463" s="1145">
        <f t="shared" si="19"/>
        <v>4.5</v>
      </c>
      <c r="T463" s="1145">
        <f t="shared" si="20"/>
        <v>11</v>
      </c>
      <c r="U463" s="1145">
        <f t="shared" si="21"/>
        <v>1.35</v>
      </c>
      <c r="V463" s="1145">
        <f t="shared" si="22"/>
        <v>3.6</v>
      </c>
      <c r="W463" s="1143"/>
    </row>
    <row r="464" spans="2:23" hidden="1">
      <c r="B464" s="976"/>
      <c r="C464" s="1621"/>
      <c r="D464" s="1125">
        <v>3.5</v>
      </c>
      <c r="E464" s="1656">
        <f t="shared" si="15"/>
        <v>23.11</v>
      </c>
      <c r="F464" s="1656"/>
      <c r="G464" s="1099">
        <f>ROUND(C462/4,2)</f>
        <v>4.5</v>
      </c>
      <c r="H464" s="1099">
        <f t="shared" si="16"/>
        <v>12</v>
      </c>
      <c r="I464" s="1099">
        <f t="shared" si="17"/>
        <v>1.57</v>
      </c>
      <c r="J464" s="1099">
        <f t="shared" si="18"/>
        <v>4.2</v>
      </c>
      <c r="K464" s="1143"/>
      <c r="O464" s="1135">
        <v>8</v>
      </c>
      <c r="P464" s="1126">
        <f>P463</f>
        <v>18</v>
      </c>
      <c r="Q464" s="1129">
        <f t="shared" si="23"/>
        <v>3.5</v>
      </c>
      <c r="R464" s="1144">
        <f t="shared" si="24"/>
        <v>23.11</v>
      </c>
      <c r="S464" s="1145">
        <f t="shared" si="19"/>
        <v>4.5</v>
      </c>
      <c r="T464" s="1145">
        <f t="shared" si="20"/>
        <v>12</v>
      </c>
      <c r="U464" s="1145">
        <f t="shared" si="21"/>
        <v>1.57</v>
      </c>
      <c r="V464" s="1145">
        <f t="shared" si="22"/>
        <v>4.2</v>
      </c>
      <c r="W464" s="1143"/>
    </row>
    <row r="465" spans="2:23" hidden="1">
      <c r="B465" s="976"/>
      <c r="C465" s="1621"/>
      <c r="D465" s="1125">
        <v>4</v>
      </c>
      <c r="E465" s="1656">
        <f t="shared" si="15"/>
        <v>26.97</v>
      </c>
      <c r="F465" s="1656"/>
      <c r="G465" s="1099">
        <f>ROUND(C462/4,2)</f>
        <v>4.5</v>
      </c>
      <c r="H465" s="1099">
        <f t="shared" si="16"/>
        <v>14</v>
      </c>
      <c r="I465" s="1099">
        <f t="shared" si="17"/>
        <v>1.8</v>
      </c>
      <c r="J465" s="1099">
        <f t="shared" si="18"/>
        <v>4.8</v>
      </c>
      <c r="K465" s="1143"/>
      <c r="O465" s="1135">
        <v>9</v>
      </c>
      <c r="P465" s="1126">
        <f>P464</f>
        <v>18</v>
      </c>
      <c r="Q465" s="1129">
        <f t="shared" si="23"/>
        <v>4</v>
      </c>
      <c r="R465" s="1144">
        <f t="shared" si="24"/>
        <v>26.97</v>
      </c>
      <c r="S465" s="1145">
        <f t="shared" si="19"/>
        <v>4.5</v>
      </c>
      <c r="T465" s="1145">
        <f t="shared" si="20"/>
        <v>14</v>
      </c>
      <c r="U465" s="1145">
        <f t="shared" si="21"/>
        <v>1.8</v>
      </c>
      <c r="V465" s="1145">
        <f t="shared" si="22"/>
        <v>4.8</v>
      </c>
      <c r="W465" s="1143"/>
    </row>
    <row r="466" spans="2:23" hidden="1">
      <c r="B466" s="976"/>
      <c r="C466" s="1621"/>
      <c r="D466" s="1125">
        <v>4.5</v>
      </c>
      <c r="E466" s="1656">
        <f t="shared" si="15"/>
        <v>30.82</v>
      </c>
      <c r="F466" s="1656"/>
      <c r="G466" s="1099">
        <f>ROUND(C462/4,2)</f>
        <v>4.5</v>
      </c>
      <c r="H466" s="1099">
        <f t="shared" si="16"/>
        <v>16</v>
      </c>
      <c r="I466" s="1099">
        <f t="shared" si="17"/>
        <v>2.02</v>
      </c>
      <c r="J466" s="1099">
        <f t="shared" si="18"/>
        <v>5.4</v>
      </c>
      <c r="K466" s="1143"/>
      <c r="O466" s="1136">
        <v>10</v>
      </c>
      <c r="P466" s="1130">
        <f>P465</f>
        <v>18</v>
      </c>
      <c r="Q466" s="1133">
        <f t="shared" si="23"/>
        <v>4.5</v>
      </c>
      <c r="R466" s="1103">
        <f t="shared" si="24"/>
        <v>30.82</v>
      </c>
      <c r="S466" s="1146">
        <f t="shared" si="19"/>
        <v>4.5</v>
      </c>
      <c r="T466" s="1146">
        <f t="shared" si="20"/>
        <v>16</v>
      </c>
      <c r="U466" s="1146">
        <f t="shared" si="21"/>
        <v>2.02</v>
      </c>
      <c r="V466" s="1146">
        <f t="shared" si="22"/>
        <v>5.4</v>
      </c>
      <c r="W466" s="1143"/>
    </row>
    <row r="467" spans="2:23" hidden="1">
      <c r="B467" s="976"/>
      <c r="C467" s="1621">
        <v>20</v>
      </c>
      <c r="D467" s="1125">
        <v>2.5</v>
      </c>
      <c r="E467" s="1656">
        <f t="shared" si="15"/>
        <v>17.329999999999998</v>
      </c>
      <c r="F467" s="1656"/>
      <c r="G467" s="1099">
        <f>ROUND(C467/4,2)</f>
        <v>5</v>
      </c>
      <c r="H467" s="1099">
        <f t="shared" si="16"/>
        <v>9</v>
      </c>
      <c r="I467" s="1099">
        <f t="shared" si="17"/>
        <v>1.25</v>
      </c>
      <c r="J467" s="1099">
        <f t="shared" si="18"/>
        <v>3</v>
      </c>
      <c r="K467" s="1143"/>
      <c r="O467" s="1134">
        <v>11</v>
      </c>
      <c r="P467" s="1121">
        <f>C467</f>
        <v>20</v>
      </c>
      <c r="Q467" s="1124">
        <f t="shared" si="23"/>
        <v>2.5</v>
      </c>
      <c r="R467" s="1100">
        <f t="shared" si="24"/>
        <v>17.329999999999998</v>
      </c>
      <c r="S467" s="1118">
        <f t="shared" si="19"/>
        <v>5</v>
      </c>
      <c r="T467" s="1118">
        <f t="shared" si="20"/>
        <v>9</v>
      </c>
      <c r="U467" s="1118">
        <f t="shared" si="21"/>
        <v>1.25</v>
      </c>
      <c r="V467" s="1118">
        <f t="shared" si="22"/>
        <v>3</v>
      </c>
      <c r="W467" s="1143"/>
    </row>
    <row r="468" spans="2:23" hidden="1">
      <c r="B468" s="976"/>
      <c r="C468" s="1621"/>
      <c r="D468" s="1125">
        <v>3</v>
      </c>
      <c r="E468" s="1656">
        <f t="shared" si="15"/>
        <v>21.19</v>
      </c>
      <c r="F468" s="1656"/>
      <c r="G468" s="1099">
        <f>ROUND(C467/4,2)</f>
        <v>5</v>
      </c>
      <c r="H468" s="1099">
        <f t="shared" si="16"/>
        <v>11</v>
      </c>
      <c r="I468" s="1099">
        <f t="shared" si="17"/>
        <v>1.5</v>
      </c>
      <c r="J468" s="1099">
        <f t="shared" si="18"/>
        <v>3.6</v>
      </c>
      <c r="K468" s="1143"/>
      <c r="O468" s="1135">
        <v>12</v>
      </c>
      <c r="P468" s="1126">
        <f>P467</f>
        <v>20</v>
      </c>
      <c r="Q468" s="1129">
        <f t="shared" si="23"/>
        <v>3</v>
      </c>
      <c r="R468" s="1144">
        <f t="shared" si="24"/>
        <v>21.19</v>
      </c>
      <c r="S468" s="1145">
        <f t="shared" si="19"/>
        <v>5</v>
      </c>
      <c r="T468" s="1145">
        <f t="shared" si="20"/>
        <v>11</v>
      </c>
      <c r="U468" s="1145">
        <f t="shared" si="21"/>
        <v>1.5</v>
      </c>
      <c r="V468" s="1145">
        <f t="shared" si="22"/>
        <v>3.6</v>
      </c>
      <c r="W468" s="1143"/>
    </row>
    <row r="469" spans="2:23" hidden="1">
      <c r="B469" s="976"/>
      <c r="C469" s="1621"/>
      <c r="D469" s="1125">
        <v>3.5</v>
      </c>
      <c r="E469" s="1656">
        <f t="shared" si="15"/>
        <v>23.11</v>
      </c>
      <c r="F469" s="1656"/>
      <c r="G469" s="1099">
        <f>ROUND(C467/4,2)</f>
        <v>5</v>
      </c>
      <c r="H469" s="1099">
        <f t="shared" si="16"/>
        <v>12</v>
      </c>
      <c r="I469" s="1099">
        <f t="shared" si="17"/>
        <v>1.75</v>
      </c>
      <c r="J469" s="1099">
        <f t="shared" si="18"/>
        <v>4.2</v>
      </c>
      <c r="K469" s="1143"/>
      <c r="O469" s="1135">
        <v>13</v>
      </c>
      <c r="P469" s="1126">
        <f>P468</f>
        <v>20</v>
      </c>
      <c r="Q469" s="1129">
        <f t="shared" si="23"/>
        <v>3.5</v>
      </c>
      <c r="R469" s="1144">
        <f t="shared" si="24"/>
        <v>23.11</v>
      </c>
      <c r="S469" s="1145">
        <f t="shared" si="19"/>
        <v>5</v>
      </c>
      <c r="T469" s="1145">
        <f t="shared" si="20"/>
        <v>12</v>
      </c>
      <c r="U469" s="1145">
        <f t="shared" si="21"/>
        <v>1.75</v>
      </c>
      <c r="V469" s="1145">
        <f t="shared" si="22"/>
        <v>4.2</v>
      </c>
      <c r="W469" s="1143"/>
    </row>
    <row r="470" spans="2:23" hidden="1">
      <c r="B470" s="976"/>
      <c r="C470" s="1621"/>
      <c r="D470" s="1125">
        <v>4</v>
      </c>
      <c r="E470" s="1656">
        <f t="shared" si="15"/>
        <v>26.97</v>
      </c>
      <c r="F470" s="1656"/>
      <c r="G470" s="1099">
        <f>ROUND(C467/4,2)</f>
        <v>5</v>
      </c>
      <c r="H470" s="1099">
        <f t="shared" si="16"/>
        <v>14</v>
      </c>
      <c r="I470" s="1099">
        <f t="shared" si="17"/>
        <v>2</v>
      </c>
      <c r="J470" s="1099">
        <f t="shared" si="18"/>
        <v>4.8</v>
      </c>
      <c r="K470" s="1143"/>
      <c r="O470" s="1135">
        <v>14</v>
      </c>
      <c r="P470" s="1126">
        <f>P469</f>
        <v>20</v>
      </c>
      <c r="Q470" s="1129">
        <f t="shared" si="23"/>
        <v>4</v>
      </c>
      <c r="R470" s="1144">
        <f t="shared" si="24"/>
        <v>26.97</v>
      </c>
      <c r="S470" s="1145">
        <f t="shared" si="19"/>
        <v>5</v>
      </c>
      <c r="T470" s="1145">
        <f t="shared" si="20"/>
        <v>14</v>
      </c>
      <c r="U470" s="1145">
        <f t="shared" si="21"/>
        <v>2</v>
      </c>
      <c r="V470" s="1145">
        <f t="shared" si="22"/>
        <v>4.8</v>
      </c>
      <c r="W470" s="1143"/>
    </row>
    <row r="471" spans="2:23" hidden="1">
      <c r="B471" s="976"/>
      <c r="C471" s="1621"/>
      <c r="D471" s="1125">
        <v>4.5</v>
      </c>
      <c r="E471" s="1656">
        <f t="shared" si="15"/>
        <v>30.82</v>
      </c>
      <c r="F471" s="1656"/>
      <c r="G471" s="1099">
        <f>ROUND(C467/4,2)</f>
        <v>5</v>
      </c>
      <c r="H471" s="1099">
        <f t="shared" si="16"/>
        <v>16</v>
      </c>
      <c r="I471" s="1099">
        <f t="shared" si="17"/>
        <v>2.25</v>
      </c>
      <c r="J471" s="1099">
        <f t="shared" si="18"/>
        <v>5.4</v>
      </c>
      <c r="K471" s="1143"/>
      <c r="O471" s="1136">
        <v>15</v>
      </c>
      <c r="P471" s="1130">
        <f>P470</f>
        <v>20</v>
      </c>
      <c r="Q471" s="1133">
        <f t="shared" si="23"/>
        <v>4.5</v>
      </c>
      <c r="R471" s="1103">
        <f t="shared" si="24"/>
        <v>30.82</v>
      </c>
      <c r="S471" s="1146">
        <f t="shared" si="19"/>
        <v>5</v>
      </c>
      <c r="T471" s="1146">
        <f t="shared" si="20"/>
        <v>16</v>
      </c>
      <c r="U471" s="1146">
        <f t="shared" si="21"/>
        <v>2.25</v>
      </c>
      <c r="V471" s="1146">
        <f t="shared" si="22"/>
        <v>5.4</v>
      </c>
      <c r="W471" s="1143"/>
    </row>
    <row r="472" spans="2:23" hidden="1">
      <c r="B472" s="976"/>
      <c r="C472" s="1621">
        <v>23</v>
      </c>
      <c r="D472" s="1125">
        <v>2.5</v>
      </c>
      <c r="E472" s="1656">
        <f t="shared" si="15"/>
        <v>17.329999999999998</v>
      </c>
      <c r="F472" s="1656"/>
      <c r="G472" s="1099">
        <f>ROUND(C472/4,2)</f>
        <v>5.75</v>
      </c>
      <c r="H472" s="1099">
        <f t="shared" si="16"/>
        <v>9</v>
      </c>
      <c r="I472" s="1099">
        <f t="shared" si="17"/>
        <v>1.43</v>
      </c>
      <c r="J472" s="1099">
        <f t="shared" si="18"/>
        <v>3</v>
      </c>
      <c r="K472" s="1143"/>
      <c r="O472" s="1134">
        <v>16</v>
      </c>
      <c r="P472" s="1121">
        <f>C472</f>
        <v>23</v>
      </c>
      <c r="Q472" s="1124">
        <f t="shared" si="23"/>
        <v>2.5</v>
      </c>
      <c r="R472" s="1100">
        <f t="shared" si="24"/>
        <v>17.329999999999998</v>
      </c>
      <c r="S472" s="1118">
        <f t="shared" si="19"/>
        <v>5.75</v>
      </c>
      <c r="T472" s="1118">
        <f t="shared" si="20"/>
        <v>9</v>
      </c>
      <c r="U472" s="1118">
        <f t="shared" si="21"/>
        <v>1.43</v>
      </c>
      <c r="V472" s="1118">
        <f t="shared" si="22"/>
        <v>3</v>
      </c>
      <c r="W472" s="1143"/>
    </row>
    <row r="473" spans="2:23" hidden="1">
      <c r="B473" s="976"/>
      <c r="C473" s="1621"/>
      <c r="D473" s="1125">
        <v>3</v>
      </c>
      <c r="E473" s="1656">
        <f t="shared" si="15"/>
        <v>21.19</v>
      </c>
      <c r="F473" s="1656"/>
      <c r="G473" s="1099">
        <f>ROUND(C472/4,2)</f>
        <v>5.75</v>
      </c>
      <c r="H473" s="1099">
        <f t="shared" si="16"/>
        <v>11</v>
      </c>
      <c r="I473" s="1099">
        <f t="shared" si="17"/>
        <v>1.72</v>
      </c>
      <c r="J473" s="1099">
        <f t="shared" si="18"/>
        <v>3.6</v>
      </c>
      <c r="K473" s="1143"/>
      <c r="O473" s="1135">
        <v>17</v>
      </c>
      <c r="P473" s="1126">
        <f>P472</f>
        <v>23</v>
      </c>
      <c r="Q473" s="1129">
        <f t="shared" si="23"/>
        <v>3</v>
      </c>
      <c r="R473" s="1144">
        <f t="shared" si="24"/>
        <v>21.19</v>
      </c>
      <c r="S473" s="1145">
        <f t="shared" si="19"/>
        <v>5.75</v>
      </c>
      <c r="T473" s="1145">
        <f t="shared" si="20"/>
        <v>11</v>
      </c>
      <c r="U473" s="1145">
        <f t="shared" si="21"/>
        <v>1.72</v>
      </c>
      <c r="V473" s="1145">
        <f t="shared" si="22"/>
        <v>3.6</v>
      </c>
      <c r="W473" s="1143"/>
    </row>
    <row r="474" spans="2:23" hidden="1">
      <c r="B474" s="976"/>
      <c r="C474" s="1621"/>
      <c r="D474" s="1125">
        <v>3.5</v>
      </c>
      <c r="E474" s="1656">
        <f t="shared" si="15"/>
        <v>23.11</v>
      </c>
      <c r="F474" s="1656"/>
      <c r="G474" s="1099">
        <f>ROUND(C472/4,2)</f>
        <v>5.75</v>
      </c>
      <c r="H474" s="1099">
        <f t="shared" si="16"/>
        <v>12</v>
      </c>
      <c r="I474" s="1099">
        <f t="shared" si="17"/>
        <v>2.0099999999999998</v>
      </c>
      <c r="J474" s="1099">
        <f t="shared" si="18"/>
        <v>4.2</v>
      </c>
      <c r="K474" s="1143"/>
      <c r="O474" s="1135">
        <v>18</v>
      </c>
      <c r="P474" s="1126">
        <f>P473</f>
        <v>23</v>
      </c>
      <c r="Q474" s="1129">
        <f t="shared" si="23"/>
        <v>3.5</v>
      </c>
      <c r="R474" s="1144">
        <f t="shared" si="24"/>
        <v>23.11</v>
      </c>
      <c r="S474" s="1145">
        <f t="shared" si="19"/>
        <v>5.75</v>
      </c>
      <c r="T474" s="1145">
        <f t="shared" si="20"/>
        <v>12</v>
      </c>
      <c r="U474" s="1145">
        <f t="shared" si="21"/>
        <v>2.0099999999999998</v>
      </c>
      <c r="V474" s="1145">
        <f t="shared" si="22"/>
        <v>4.2</v>
      </c>
      <c r="W474" s="1143"/>
    </row>
    <row r="475" spans="2:23" hidden="1">
      <c r="B475" s="976"/>
      <c r="C475" s="1621"/>
      <c r="D475" s="1125">
        <v>4</v>
      </c>
      <c r="E475" s="1656">
        <f t="shared" si="15"/>
        <v>26.97</v>
      </c>
      <c r="F475" s="1656"/>
      <c r="G475" s="1099">
        <f>ROUND(C472/4,2)</f>
        <v>5.75</v>
      </c>
      <c r="H475" s="1099">
        <f t="shared" si="16"/>
        <v>14</v>
      </c>
      <c r="I475" s="1099">
        <f t="shared" si="17"/>
        <v>2.2999999999999998</v>
      </c>
      <c r="J475" s="1099">
        <f t="shared" si="18"/>
        <v>4.8</v>
      </c>
      <c r="K475" s="1143"/>
      <c r="O475" s="1135">
        <v>19</v>
      </c>
      <c r="P475" s="1126">
        <f>P474</f>
        <v>23</v>
      </c>
      <c r="Q475" s="1129">
        <f t="shared" si="23"/>
        <v>4</v>
      </c>
      <c r="R475" s="1144">
        <f t="shared" si="24"/>
        <v>26.97</v>
      </c>
      <c r="S475" s="1145">
        <f t="shared" si="19"/>
        <v>5.75</v>
      </c>
      <c r="T475" s="1145">
        <f t="shared" si="20"/>
        <v>14</v>
      </c>
      <c r="U475" s="1145">
        <f t="shared" si="21"/>
        <v>2.2999999999999998</v>
      </c>
      <c r="V475" s="1145">
        <f t="shared" si="22"/>
        <v>4.8</v>
      </c>
      <c r="W475" s="1143"/>
    </row>
    <row r="476" spans="2:23" hidden="1">
      <c r="B476" s="976"/>
      <c r="C476" s="1621"/>
      <c r="D476" s="1125">
        <v>4.5</v>
      </c>
      <c r="E476" s="1656">
        <f t="shared" si="15"/>
        <v>30.82</v>
      </c>
      <c r="F476" s="1656"/>
      <c r="G476" s="1099">
        <f>ROUND(C472/4,2)</f>
        <v>5.75</v>
      </c>
      <c r="H476" s="1099">
        <f t="shared" si="16"/>
        <v>16</v>
      </c>
      <c r="I476" s="1099">
        <f t="shared" si="17"/>
        <v>2.58</v>
      </c>
      <c r="J476" s="1099">
        <f t="shared" si="18"/>
        <v>5.4</v>
      </c>
      <c r="K476" s="1143"/>
      <c r="O476" s="1136">
        <v>20</v>
      </c>
      <c r="P476" s="1130">
        <f>P475</f>
        <v>23</v>
      </c>
      <c r="Q476" s="1133">
        <f t="shared" si="23"/>
        <v>4.5</v>
      </c>
      <c r="R476" s="1103">
        <f t="shared" si="24"/>
        <v>30.82</v>
      </c>
      <c r="S476" s="1146">
        <f t="shared" si="19"/>
        <v>5.75</v>
      </c>
      <c r="T476" s="1146">
        <f t="shared" si="20"/>
        <v>16</v>
      </c>
      <c r="U476" s="1146">
        <f t="shared" si="21"/>
        <v>2.58</v>
      </c>
      <c r="V476" s="1146">
        <f t="shared" si="22"/>
        <v>5.4</v>
      </c>
      <c r="W476" s="1143"/>
    </row>
    <row r="477" spans="2:23" hidden="1">
      <c r="B477" s="976"/>
      <c r="C477" s="1621">
        <v>25</v>
      </c>
      <c r="D477" s="1125">
        <v>2.5</v>
      </c>
      <c r="E477" s="1656">
        <f t="shared" si="15"/>
        <v>17.329999999999998</v>
      </c>
      <c r="F477" s="1656"/>
      <c r="G477" s="1099">
        <f>ROUND(C477/4,2)</f>
        <v>6.25</v>
      </c>
      <c r="H477" s="1099">
        <f t="shared" si="16"/>
        <v>9</v>
      </c>
      <c r="I477" s="1099">
        <f t="shared" si="17"/>
        <v>1.56</v>
      </c>
      <c r="J477" s="1099">
        <f t="shared" si="18"/>
        <v>3</v>
      </c>
      <c r="K477" s="1143"/>
      <c r="O477" s="1134">
        <v>21</v>
      </c>
      <c r="P477" s="1121">
        <f>C477</f>
        <v>25</v>
      </c>
      <c r="Q477" s="1124">
        <f t="shared" si="23"/>
        <v>2.5</v>
      </c>
      <c r="R477" s="1100">
        <f t="shared" si="24"/>
        <v>17.329999999999998</v>
      </c>
      <c r="S477" s="1118">
        <f t="shared" si="19"/>
        <v>6.25</v>
      </c>
      <c r="T477" s="1118">
        <f t="shared" si="20"/>
        <v>9</v>
      </c>
      <c r="U477" s="1118">
        <f t="shared" si="21"/>
        <v>1.56</v>
      </c>
      <c r="V477" s="1118">
        <f t="shared" si="22"/>
        <v>3</v>
      </c>
      <c r="W477" s="1143"/>
    </row>
    <row r="478" spans="2:23" hidden="1">
      <c r="B478" s="976"/>
      <c r="C478" s="1621"/>
      <c r="D478" s="1125">
        <v>3</v>
      </c>
      <c r="E478" s="1656">
        <f t="shared" si="15"/>
        <v>21.19</v>
      </c>
      <c r="F478" s="1656"/>
      <c r="G478" s="1099">
        <f>ROUND(C477/4,2)</f>
        <v>6.25</v>
      </c>
      <c r="H478" s="1099">
        <f t="shared" si="16"/>
        <v>11</v>
      </c>
      <c r="I478" s="1099">
        <f t="shared" si="17"/>
        <v>1.87</v>
      </c>
      <c r="J478" s="1099">
        <f t="shared" si="18"/>
        <v>3.6</v>
      </c>
      <c r="K478" s="1143"/>
      <c r="O478" s="1135">
        <v>22</v>
      </c>
      <c r="P478" s="1126">
        <f>P477</f>
        <v>25</v>
      </c>
      <c r="Q478" s="1129">
        <f t="shared" si="23"/>
        <v>3</v>
      </c>
      <c r="R478" s="1144">
        <f t="shared" si="24"/>
        <v>21.19</v>
      </c>
      <c r="S478" s="1145">
        <f t="shared" si="19"/>
        <v>6.25</v>
      </c>
      <c r="T478" s="1145">
        <f t="shared" si="20"/>
        <v>11</v>
      </c>
      <c r="U478" s="1145">
        <f t="shared" si="21"/>
        <v>1.87</v>
      </c>
      <c r="V478" s="1145">
        <f t="shared" si="22"/>
        <v>3.6</v>
      </c>
      <c r="W478" s="1143"/>
    </row>
    <row r="479" spans="2:23" hidden="1">
      <c r="B479" s="976"/>
      <c r="C479" s="1621"/>
      <c r="D479" s="1125">
        <v>3.5</v>
      </c>
      <c r="E479" s="1656">
        <f t="shared" si="15"/>
        <v>23.11</v>
      </c>
      <c r="F479" s="1656"/>
      <c r="G479" s="1099">
        <f>ROUND(C477/4,2)</f>
        <v>6.25</v>
      </c>
      <c r="H479" s="1099">
        <f t="shared" si="16"/>
        <v>12</v>
      </c>
      <c r="I479" s="1099">
        <f t="shared" si="17"/>
        <v>2.1800000000000002</v>
      </c>
      <c r="J479" s="1099">
        <f t="shared" si="18"/>
        <v>4.2</v>
      </c>
      <c r="K479" s="1143"/>
      <c r="O479" s="1135">
        <v>23</v>
      </c>
      <c r="P479" s="1126">
        <f>P478</f>
        <v>25</v>
      </c>
      <c r="Q479" s="1129">
        <f t="shared" si="23"/>
        <v>3.5</v>
      </c>
      <c r="R479" s="1144">
        <f t="shared" si="24"/>
        <v>23.11</v>
      </c>
      <c r="S479" s="1145">
        <f t="shared" si="19"/>
        <v>6.25</v>
      </c>
      <c r="T479" s="1145">
        <f t="shared" si="20"/>
        <v>12</v>
      </c>
      <c r="U479" s="1145">
        <f t="shared" si="21"/>
        <v>2.1800000000000002</v>
      </c>
      <c r="V479" s="1145">
        <f t="shared" si="22"/>
        <v>4.2</v>
      </c>
      <c r="W479" s="1143"/>
    </row>
    <row r="480" spans="2:23" hidden="1">
      <c r="B480" s="976"/>
      <c r="C480" s="1621"/>
      <c r="D480" s="1125">
        <v>4</v>
      </c>
      <c r="E480" s="1656">
        <f t="shared" si="15"/>
        <v>26.97</v>
      </c>
      <c r="F480" s="1656"/>
      <c r="G480" s="1099">
        <f>ROUND(C477/4,2)</f>
        <v>6.25</v>
      </c>
      <c r="H480" s="1099">
        <f t="shared" si="16"/>
        <v>14</v>
      </c>
      <c r="I480" s="1099">
        <f t="shared" si="17"/>
        <v>2.5</v>
      </c>
      <c r="J480" s="1099">
        <f t="shared" si="18"/>
        <v>4.8</v>
      </c>
      <c r="K480" s="1143"/>
      <c r="O480" s="1135">
        <v>24</v>
      </c>
      <c r="P480" s="1126">
        <f>P479</f>
        <v>25</v>
      </c>
      <c r="Q480" s="1129">
        <f t="shared" si="23"/>
        <v>4</v>
      </c>
      <c r="R480" s="1144">
        <f t="shared" si="24"/>
        <v>26.97</v>
      </c>
      <c r="S480" s="1145">
        <f t="shared" si="19"/>
        <v>6.25</v>
      </c>
      <c r="T480" s="1145">
        <f t="shared" si="20"/>
        <v>14</v>
      </c>
      <c r="U480" s="1145">
        <f t="shared" si="21"/>
        <v>2.5</v>
      </c>
      <c r="V480" s="1145">
        <f t="shared" si="22"/>
        <v>4.8</v>
      </c>
      <c r="W480" s="1143"/>
    </row>
    <row r="481" spans="2:23" hidden="1">
      <c r="B481" s="976"/>
      <c r="C481" s="1621"/>
      <c r="D481" s="1125">
        <v>4.5</v>
      </c>
      <c r="E481" s="1656">
        <f t="shared" si="15"/>
        <v>30.82</v>
      </c>
      <c r="F481" s="1656"/>
      <c r="G481" s="1099">
        <f>ROUND(C477/4,2)</f>
        <v>6.25</v>
      </c>
      <c r="H481" s="1099">
        <f t="shared" si="16"/>
        <v>16</v>
      </c>
      <c r="I481" s="1099">
        <f t="shared" si="17"/>
        <v>2.81</v>
      </c>
      <c r="J481" s="1099">
        <f t="shared" si="18"/>
        <v>5.4</v>
      </c>
      <c r="K481" s="1143"/>
      <c r="O481" s="1136">
        <v>25</v>
      </c>
      <c r="P481" s="1130">
        <f>P480</f>
        <v>25</v>
      </c>
      <c r="Q481" s="1133">
        <f t="shared" si="23"/>
        <v>4.5</v>
      </c>
      <c r="R481" s="1103">
        <f t="shared" si="24"/>
        <v>30.82</v>
      </c>
      <c r="S481" s="1146">
        <f t="shared" si="19"/>
        <v>6.25</v>
      </c>
      <c r="T481" s="1146">
        <f t="shared" si="20"/>
        <v>16</v>
      </c>
      <c r="U481" s="1146">
        <f t="shared" si="21"/>
        <v>2.81</v>
      </c>
      <c r="V481" s="1146">
        <f t="shared" si="22"/>
        <v>5.4</v>
      </c>
      <c r="W481" s="1143"/>
    </row>
    <row r="482" spans="2:23" hidden="1">
      <c r="B482" s="976"/>
      <c r="C482" s="684" t="s">
        <v>830</v>
      </c>
      <c r="D482" s="684"/>
      <c r="E482" s="684"/>
      <c r="F482" s="684"/>
      <c r="G482" s="684"/>
      <c r="H482" s="684"/>
      <c r="I482" s="684"/>
      <c r="J482" s="684"/>
      <c r="K482" s="684"/>
      <c r="L482" s="684"/>
      <c r="M482" s="684"/>
      <c r="N482" s="684"/>
    </row>
    <row r="483" spans="2:23" hidden="1">
      <c r="B483" s="976"/>
      <c r="C483" s="976"/>
      <c r="E483" s="976"/>
      <c r="F483" s="1037"/>
      <c r="G483" s="738"/>
      <c r="H483" s="745"/>
      <c r="I483" s="976"/>
      <c r="J483" s="976"/>
      <c r="K483" s="976"/>
    </row>
    <row r="484" spans="2:23" hidden="1">
      <c r="B484" s="1001" t="str">
        <f>ปร.4_1!C46</f>
        <v>2.6.4</v>
      </c>
      <c r="C484" s="1147" t="str">
        <f>ปร.4_1!D46</f>
        <v>Longitudinal  Joint</v>
      </c>
      <c r="E484" s="976"/>
      <c r="F484" s="1037"/>
      <c r="G484" s="738"/>
      <c r="H484" s="745"/>
      <c r="I484" s="976"/>
      <c r="J484" s="976"/>
      <c r="K484" s="976"/>
    </row>
    <row r="485" spans="2:23" hidden="1">
      <c r="B485" s="976"/>
      <c r="C485" s="1148" t="s">
        <v>508</v>
      </c>
      <c r="G485" s="738"/>
      <c r="H485" s="745"/>
      <c r="I485" s="738" t="s">
        <v>190</v>
      </c>
      <c r="J485" s="1097">
        <v>10</v>
      </c>
      <c r="K485" s="1011" t="s">
        <v>17</v>
      </c>
      <c r="L485" s="1012" t="s">
        <v>193</v>
      </c>
      <c r="P485" s="1111" t="s">
        <v>493</v>
      </c>
    </row>
    <row r="486" spans="2:23" hidden="1">
      <c r="B486" s="976"/>
      <c r="C486" s="1148" t="s">
        <v>904</v>
      </c>
      <c r="E486" s="976"/>
      <c r="F486" s="1097">
        <f>IF($P$486=0,0,HLOOKUP($P$486,$F$493:$J$496,2))</f>
        <v>0</v>
      </c>
      <c r="G486" s="1016" t="s">
        <v>242</v>
      </c>
      <c r="H486" s="1097">
        <f>J1402</f>
        <v>14.96</v>
      </c>
      <c r="I486" s="738" t="s">
        <v>190</v>
      </c>
      <c r="J486" s="1097">
        <f>H486*F486</f>
        <v>0</v>
      </c>
      <c r="K486" s="1011" t="s">
        <v>238</v>
      </c>
      <c r="L486" s="1012" t="s">
        <v>234</v>
      </c>
      <c r="P486" s="1115">
        <f>H349</f>
        <v>0</v>
      </c>
    </row>
    <row r="487" spans="2:23" hidden="1">
      <c r="B487" s="976"/>
      <c r="C487" s="1148" t="s">
        <v>509</v>
      </c>
      <c r="E487" s="976"/>
      <c r="F487" s="1097">
        <f>J485</f>
        <v>10</v>
      </c>
      <c r="G487" s="1016" t="s">
        <v>243</v>
      </c>
      <c r="H487" s="1097">
        <f>ค่าดำเนินการ!H61</f>
        <v>22.06</v>
      </c>
      <c r="I487" s="738" t="s">
        <v>190</v>
      </c>
      <c r="J487" s="1097">
        <f>H487*F487</f>
        <v>220.6</v>
      </c>
      <c r="K487" s="1011" t="s">
        <v>238</v>
      </c>
      <c r="L487" s="1012" t="s">
        <v>831</v>
      </c>
    </row>
    <row r="488" spans="2:23" hidden="1">
      <c r="B488" s="976"/>
      <c r="C488" s="1148" t="s">
        <v>510</v>
      </c>
      <c r="E488" s="976"/>
      <c r="F488" s="1097">
        <f>IF($P$486=0,0,HLOOKUP($P$486,$F$493:$J$496,4))</f>
        <v>0</v>
      </c>
      <c r="G488" s="1016" t="s">
        <v>245</v>
      </c>
      <c r="H488" s="1097">
        <v>45</v>
      </c>
      <c r="I488" s="738" t="s">
        <v>190</v>
      </c>
      <c r="J488" s="1097">
        <f>H488*F488</f>
        <v>0</v>
      </c>
      <c r="K488" s="1011" t="s">
        <v>238</v>
      </c>
      <c r="L488" s="1012" t="s">
        <v>244</v>
      </c>
    </row>
    <row r="489" spans="2:23" hidden="1">
      <c r="B489" s="976"/>
      <c r="C489" s="1148" t="s">
        <v>233</v>
      </c>
      <c r="E489" s="976"/>
      <c r="F489" s="1097"/>
      <c r="G489" s="745"/>
      <c r="H489" s="1097"/>
      <c r="I489" s="738" t="s">
        <v>190</v>
      </c>
      <c r="J489" s="1067">
        <f>SUM(J486:J488)</f>
        <v>220.6</v>
      </c>
      <c r="K489" s="1011" t="s">
        <v>238</v>
      </c>
      <c r="L489" s="1012" t="s">
        <v>511</v>
      </c>
    </row>
    <row r="490" spans="2:23" ht="22.5" hidden="1" thickBot="1">
      <c r="B490" s="976"/>
      <c r="C490" s="1148" t="s">
        <v>195</v>
      </c>
      <c r="E490" s="976"/>
      <c r="F490" s="1097">
        <f>J489</f>
        <v>220.6</v>
      </c>
      <c r="G490" s="1001" t="s">
        <v>241</v>
      </c>
      <c r="H490" s="1097">
        <f>J485</f>
        <v>10</v>
      </c>
      <c r="I490" s="738" t="s">
        <v>190</v>
      </c>
      <c r="J490" s="1025">
        <f>ROUNDDOWN(J489/H490,2)</f>
        <v>22.06</v>
      </c>
      <c r="K490" s="1011" t="s">
        <v>252</v>
      </c>
      <c r="L490" s="1012" t="s">
        <v>512</v>
      </c>
    </row>
    <row r="491" spans="2:23" ht="22.5" hidden="1" thickTop="1">
      <c r="B491" s="976"/>
      <c r="C491" s="1027"/>
      <c r="D491" s="1084"/>
      <c r="E491" s="747"/>
      <c r="F491" s="1027"/>
      <c r="G491" s="738"/>
      <c r="H491" s="742"/>
      <c r="I491" s="747"/>
      <c r="J491" s="978"/>
      <c r="K491" s="759"/>
      <c r="M491" s="1004"/>
    </row>
    <row r="492" spans="2:23" hidden="1">
      <c r="B492" s="976"/>
      <c r="C492" s="1029" t="s">
        <v>832</v>
      </c>
      <c r="D492" s="1084"/>
      <c r="E492" s="747"/>
      <c r="F492" s="1027"/>
      <c r="G492" s="738"/>
      <c r="H492" s="742"/>
      <c r="I492" s="747"/>
      <c r="J492" s="978"/>
      <c r="K492" s="759"/>
      <c r="M492" s="1004"/>
    </row>
    <row r="493" spans="2:23" hidden="1">
      <c r="B493" s="976"/>
      <c r="C493" s="1685" t="s">
        <v>1067</v>
      </c>
      <c r="D493" s="1686"/>
      <c r="E493" s="1687"/>
      <c r="F493" s="1149">
        <v>15</v>
      </c>
      <c r="G493" s="1149">
        <v>18</v>
      </c>
      <c r="H493" s="1149">
        <v>20</v>
      </c>
      <c r="I493" s="1149">
        <v>23</v>
      </c>
      <c r="J493" s="1149">
        <v>25</v>
      </c>
      <c r="K493" s="759"/>
      <c r="M493" s="1004"/>
    </row>
    <row r="494" spans="2:23" hidden="1">
      <c r="B494" s="976"/>
      <c r="C494" s="1688" t="s">
        <v>1068</v>
      </c>
      <c r="D494" s="1689"/>
      <c r="E494" s="1690"/>
      <c r="F494" s="1099">
        <f>(ROUNDDOWN((INT($J$485/0.5)+1)*0.5*0.888,2))</f>
        <v>9.32</v>
      </c>
      <c r="G494" s="1099">
        <f>(ROUNDDOWN((INT($J$485/0.5)+1)*0.5*0.888,2))</f>
        <v>9.32</v>
      </c>
      <c r="H494" s="1099">
        <f>(ROUNDDOWN((INT($J$485/0.5)+1)*0.5*0.888,2))</f>
        <v>9.32</v>
      </c>
      <c r="I494" s="1099">
        <f>(ROUNDDOWN((INT($J$485/0.5)+1)*0.5*0.888,2))</f>
        <v>9.32</v>
      </c>
      <c r="J494" s="1099">
        <f>(ROUNDDOWN((INT($J$485/0.5)+1)*0.5*0.888,2))</f>
        <v>9.32</v>
      </c>
      <c r="K494" s="759"/>
      <c r="M494" s="1004"/>
    </row>
    <row r="495" spans="2:23" hidden="1">
      <c r="B495" s="976"/>
      <c r="C495" s="1688" t="s">
        <v>828</v>
      </c>
      <c r="D495" s="1689"/>
      <c r="E495" s="1690"/>
      <c r="F495" s="1099">
        <f>ROUNDDOWN(F493/4,2)</f>
        <v>3.75</v>
      </c>
      <c r="G495" s="1099">
        <f>ROUNDDOWN(G493/4,2)</f>
        <v>4.5</v>
      </c>
      <c r="H495" s="1099">
        <f>ROUNDDOWN(H493/4,2)</f>
        <v>5</v>
      </c>
      <c r="I495" s="1099">
        <f>ROUNDDOWN(I493/4,2)</f>
        <v>5.75</v>
      </c>
      <c r="J495" s="1099">
        <f>ROUNDDOWN(J493/4,2)</f>
        <v>6.25</v>
      </c>
      <c r="K495" s="759"/>
      <c r="M495" s="1004"/>
    </row>
    <row r="496" spans="2:23" hidden="1">
      <c r="B496" s="976"/>
      <c r="C496" s="1688" t="s">
        <v>1062</v>
      </c>
      <c r="D496" s="1689"/>
      <c r="E496" s="1690"/>
      <c r="F496" s="1099">
        <f>$J$485*0.01*F495/100*1000</f>
        <v>3.75</v>
      </c>
      <c r="G496" s="1099">
        <f>$J$485*0.01*G495/100*1000</f>
        <v>4.5000000000000009</v>
      </c>
      <c r="H496" s="1099">
        <f>$J$485*0.01*H495/100*1000</f>
        <v>5</v>
      </c>
      <c r="I496" s="1099">
        <f>$J$485*0.01*I495/100*1000</f>
        <v>5.7500000000000009</v>
      </c>
      <c r="J496" s="1099">
        <f>$J$485*0.01*J495/100*1000</f>
        <v>6.25</v>
      </c>
      <c r="K496" s="759"/>
      <c r="M496" s="1004"/>
    </row>
    <row r="497" spans="2:16" hidden="1">
      <c r="B497" s="976"/>
      <c r="C497" s="1027"/>
      <c r="D497" s="1084"/>
      <c r="E497" s="747"/>
      <c r="F497" s="1027"/>
      <c r="G497" s="738"/>
      <c r="H497" s="742"/>
      <c r="I497" s="747"/>
      <c r="J497" s="978"/>
      <c r="K497" s="759"/>
      <c r="M497" s="1004"/>
    </row>
    <row r="498" spans="2:16" hidden="1">
      <c r="B498" s="1150" t="str">
        <f>ปร.4_1!C47</f>
        <v>2.6.5</v>
      </c>
      <c r="C498" s="1151" t="str">
        <f>ปร.4_1!D47</f>
        <v>Dummy  Joint</v>
      </c>
      <c r="D498" s="1084"/>
      <c r="E498" s="747"/>
      <c r="F498" s="1027"/>
      <c r="G498" s="738"/>
      <c r="H498" s="742"/>
      <c r="I498" s="747"/>
      <c r="J498" s="978"/>
      <c r="K498" s="759"/>
      <c r="M498" s="1004"/>
    </row>
    <row r="499" spans="2:16" hidden="1">
      <c r="B499" s="976"/>
      <c r="C499" s="1148" t="s">
        <v>508</v>
      </c>
      <c r="D499" s="976"/>
      <c r="G499" s="684"/>
      <c r="H499" s="684"/>
      <c r="I499" s="684"/>
      <c r="J499" s="1097">
        <v>10</v>
      </c>
      <c r="K499" s="1011" t="s">
        <v>17</v>
      </c>
      <c r="L499" s="1012" t="s">
        <v>193</v>
      </c>
      <c r="P499" s="1111" t="s">
        <v>493</v>
      </c>
    </row>
    <row r="500" spans="2:16" hidden="1">
      <c r="B500" s="976"/>
      <c r="C500" s="684" t="s">
        <v>833</v>
      </c>
      <c r="D500" s="684"/>
      <c r="E500" s="684"/>
      <c r="F500" s="1097">
        <f>J499</f>
        <v>10</v>
      </c>
      <c r="G500" s="1016" t="s">
        <v>243</v>
      </c>
      <c r="H500" s="1097">
        <f>ค่าดำเนินการ!H61</f>
        <v>22.06</v>
      </c>
      <c r="I500" s="738" t="s">
        <v>190</v>
      </c>
      <c r="J500" s="1097">
        <f>H500*F500</f>
        <v>220.6</v>
      </c>
      <c r="K500" s="1011" t="s">
        <v>238</v>
      </c>
      <c r="L500" s="1012" t="s">
        <v>214</v>
      </c>
      <c r="P500" s="1115">
        <f>H349</f>
        <v>0</v>
      </c>
    </row>
    <row r="501" spans="2:16" hidden="1">
      <c r="B501" s="976"/>
      <c r="C501" s="684" t="s">
        <v>628</v>
      </c>
      <c r="D501" s="684"/>
      <c r="E501" s="684"/>
      <c r="F501" s="1097">
        <f>IF($P$500=0,0,HLOOKUP($P$500,$F$506:$J$508,3))</f>
        <v>0</v>
      </c>
      <c r="G501" s="1016" t="s">
        <v>245</v>
      </c>
      <c r="H501" s="1097">
        <v>45</v>
      </c>
      <c r="I501" s="738" t="s">
        <v>190</v>
      </c>
      <c r="J501" s="1097">
        <f>H501*F501</f>
        <v>0</v>
      </c>
      <c r="K501" s="1011" t="s">
        <v>238</v>
      </c>
      <c r="L501" s="1152" t="s">
        <v>239</v>
      </c>
    </row>
    <row r="502" spans="2:16" hidden="1">
      <c r="B502" s="976"/>
      <c r="C502" s="684" t="s">
        <v>233</v>
      </c>
      <c r="D502" s="684"/>
      <c r="E502" s="684"/>
      <c r="F502" s="1097"/>
      <c r="G502" s="745"/>
      <c r="H502" s="1097"/>
      <c r="I502" s="738" t="s">
        <v>190</v>
      </c>
      <c r="J502" s="1067">
        <f>SUM(J500:J501)</f>
        <v>220.6</v>
      </c>
      <c r="K502" s="1011" t="s">
        <v>238</v>
      </c>
      <c r="L502" s="1012" t="s">
        <v>511</v>
      </c>
    </row>
    <row r="503" spans="2:16" ht="22.5" hidden="1" thickBot="1">
      <c r="B503" s="976"/>
      <c r="C503" s="684" t="s">
        <v>195</v>
      </c>
      <c r="D503" s="684"/>
      <c r="E503" s="684"/>
      <c r="F503" s="1097">
        <f>J502</f>
        <v>220.6</v>
      </c>
      <c r="G503" s="738" t="s">
        <v>241</v>
      </c>
      <c r="H503" s="1097">
        <f>J499</f>
        <v>10</v>
      </c>
      <c r="I503" s="738" t="s">
        <v>190</v>
      </c>
      <c r="J503" s="1025">
        <f>ROUNDDOWN(J502/H503,2)</f>
        <v>22.06</v>
      </c>
      <c r="K503" s="1011" t="s">
        <v>252</v>
      </c>
      <c r="L503" s="1012" t="s">
        <v>512</v>
      </c>
    </row>
    <row r="504" spans="2:16" ht="22.5" hidden="1" thickTop="1">
      <c r="B504" s="976"/>
      <c r="C504" s="1027"/>
      <c r="D504" s="1084"/>
      <c r="E504" s="747"/>
      <c r="F504" s="1027"/>
      <c r="G504" s="738"/>
      <c r="H504" s="742"/>
      <c r="I504" s="747"/>
      <c r="J504" s="978"/>
      <c r="K504" s="759"/>
      <c r="M504" s="1004"/>
    </row>
    <row r="505" spans="2:16" hidden="1">
      <c r="B505" s="976"/>
      <c r="C505" s="1029" t="s">
        <v>832</v>
      </c>
      <c r="D505" s="1084"/>
      <c r="E505" s="747"/>
      <c r="F505" s="1027"/>
      <c r="G505" s="738"/>
      <c r="H505" s="742"/>
      <c r="I505" s="747"/>
      <c r="J505" s="978"/>
      <c r="K505" s="759"/>
      <c r="M505" s="1004"/>
    </row>
    <row r="506" spans="2:16" hidden="1">
      <c r="B506" s="976"/>
      <c r="C506" s="1685" t="s">
        <v>1067</v>
      </c>
      <c r="D506" s="1686"/>
      <c r="E506" s="1687"/>
      <c r="F506" s="1149">
        <v>15</v>
      </c>
      <c r="G506" s="1149">
        <v>18</v>
      </c>
      <c r="H506" s="1149">
        <v>20</v>
      </c>
      <c r="I506" s="1149">
        <v>23</v>
      </c>
      <c r="J506" s="1149">
        <v>25</v>
      </c>
      <c r="K506" s="759"/>
      <c r="M506" s="1004"/>
    </row>
    <row r="507" spans="2:16" hidden="1">
      <c r="B507" s="976"/>
      <c r="C507" s="1688" t="s">
        <v>828</v>
      </c>
      <c r="D507" s="1689"/>
      <c r="E507" s="1690"/>
      <c r="F507" s="1099">
        <f>ROUNDDOWN(F506/4,2)</f>
        <v>3.75</v>
      </c>
      <c r="G507" s="1099">
        <f>ROUNDDOWN(G506/4,2)</f>
        <v>4.5</v>
      </c>
      <c r="H507" s="1099">
        <f>ROUNDDOWN(H506/4,2)</f>
        <v>5</v>
      </c>
      <c r="I507" s="1099">
        <f>ROUNDDOWN(I506/4,2)</f>
        <v>5.75</v>
      </c>
      <c r="J507" s="1099">
        <f>ROUNDDOWN(J506/4,2)</f>
        <v>6.25</v>
      </c>
      <c r="K507" s="759"/>
      <c r="M507" s="1004"/>
    </row>
    <row r="508" spans="2:16" hidden="1">
      <c r="B508" s="976"/>
      <c r="C508" s="1688" t="s">
        <v>1062</v>
      </c>
      <c r="D508" s="1689"/>
      <c r="E508" s="1690"/>
      <c r="F508" s="1099">
        <f>ROUNDDOWN($J$499*0.01*F507/100*1000,2)</f>
        <v>3.75</v>
      </c>
      <c r="G508" s="1099">
        <f>ROUNDDOWN($J$499*0.01*G507/100*1000,2)</f>
        <v>4.5</v>
      </c>
      <c r="H508" s="1099">
        <f>ROUNDDOWN($J$499*0.01*H507/100*1000,2)</f>
        <v>5</v>
      </c>
      <c r="I508" s="1099">
        <f>ROUNDDOWN($J$499*0.01*I507/100*1000,2)</f>
        <v>5.75</v>
      </c>
      <c r="J508" s="1099">
        <f>ROUNDDOWN($J$499*0.01*J507/100*1000,2)</f>
        <v>6.25</v>
      </c>
      <c r="K508" s="759"/>
      <c r="M508" s="1004"/>
    </row>
    <row r="509" spans="2:16" hidden="1">
      <c r="B509" s="976"/>
      <c r="C509" s="1027"/>
      <c r="D509" s="1084"/>
      <c r="E509" s="747"/>
      <c r="F509" s="1027"/>
      <c r="G509" s="738"/>
      <c r="H509" s="742"/>
      <c r="I509" s="747"/>
      <c r="J509" s="978"/>
      <c r="K509" s="759"/>
      <c r="M509" s="1004"/>
    </row>
    <row r="510" spans="2:16" hidden="1">
      <c r="B510" s="1150" t="str">
        <f>ปร.4_1!C48</f>
        <v>2.6.6</v>
      </c>
      <c r="C510" s="1151" t="str">
        <f>ปร.4_1!D48</f>
        <v>Edge  Joint</v>
      </c>
      <c r="D510" s="1084"/>
      <c r="E510" s="747"/>
      <c r="F510" s="1027"/>
      <c r="G510" s="738"/>
      <c r="H510" s="742"/>
      <c r="I510" s="747"/>
      <c r="J510" s="978"/>
      <c r="K510" s="759"/>
      <c r="M510" s="1004"/>
    </row>
    <row r="511" spans="2:16" hidden="1">
      <c r="B511" s="976"/>
      <c r="C511" s="1148" t="s">
        <v>508</v>
      </c>
      <c r="D511" s="976"/>
      <c r="G511" s="684"/>
      <c r="H511" s="684"/>
      <c r="I511" s="684"/>
      <c r="J511" s="1097">
        <v>10</v>
      </c>
      <c r="K511" s="1011" t="s">
        <v>17</v>
      </c>
      <c r="L511" s="1012" t="s">
        <v>193</v>
      </c>
    </row>
    <row r="512" spans="2:16" hidden="1">
      <c r="B512" s="976"/>
      <c r="C512" s="684" t="s">
        <v>833</v>
      </c>
      <c r="D512" s="684"/>
      <c r="E512" s="684"/>
      <c r="F512" s="1097">
        <v>10</v>
      </c>
      <c r="G512" s="1016" t="s">
        <v>243</v>
      </c>
      <c r="H512" s="1097">
        <f>ค่าดำเนินการ!H61*0.75</f>
        <v>16.544999999999998</v>
      </c>
      <c r="I512" s="738" t="s">
        <v>190</v>
      </c>
      <c r="J512" s="1097">
        <f>H512*F512</f>
        <v>165.45</v>
      </c>
      <c r="K512" s="1011" t="s">
        <v>238</v>
      </c>
      <c r="L512" s="1012" t="s">
        <v>214</v>
      </c>
    </row>
    <row r="513" spans="1:24" hidden="1">
      <c r="B513" s="976"/>
      <c r="C513" s="684" t="s">
        <v>628</v>
      </c>
      <c r="D513" s="684"/>
      <c r="E513" s="684"/>
      <c r="F513" s="1097">
        <v>6</v>
      </c>
      <c r="G513" s="1016" t="s">
        <v>245</v>
      </c>
      <c r="H513" s="1097">
        <v>45</v>
      </c>
      <c r="I513" s="738" t="s">
        <v>190</v>
      </c>
      <c r="J513" s="1097">
        <f>H513*F513</f>
        <v>270</v>
      </c>
      <c r="K513" s="1011" t="s">
        <v>238</v>
      </c>
      <c r="L513" s="1152" t="s">
        <v>239</v>
      </c>
    </row>
    <row r="514" spans="1:24" hidden="1">
      <c r="B514" s="976"/>
      <c r="C514" s="684" t="s">
        <v>233</v>
      </c>
      <c r="D514" s="684"/>
      <c r="E514" s="684"/>
      <c r="F514" s="1097"/>
      <c r="G514" s="745"/>
      <c r="H514" s="1097"/>
      <c r="I514" s="738" t="s">
        <v>190</v>
      </c>
      <c r="J514" s="1067">
        <f>SUM(J512:J513)</f>
        <v>435.45</v>
      </c>
      <c r="K514" s="1011" t="s">
        <v>238</v>
      </c>
      <c r="L514" s="1012" t="s">
        <v>511</v>
      </c>
    </row>
    <row r="515" spans="1:24" ht="22.5" hidden="1" thickBot="1">
      <c r="B515" s="976"/>
      <c r="C515" s="684" t="s">
        <v>195</v>
      </c>
      <c r="D515" s="684"/>
      <c r="E515" s="684"/>
      <c r="F515" s="1097">
        <f>J514</f>
        <v>435.45</v>
      </c>
      <c r="G515" s="738" t="s">
        <v>241</v>
      </c>
      <c r="H515" s="1097">
        <f>J511</f>
        <v>10</v>
      </c>
      <c r="I515" s="738" t="s">
        <v>190</v>
      </c>
      <c r="J515" s="1025">
        <f>J514/H515</f>
        <v>43.545000000000002</v>
      </c>
      <c r="K515" s="1011" t="s">
        <v>252</v>
      </c>
      <c r="L515" s="1012" t="s">
        <v>512</v>
      </c>
    </row>
    <row r="516" spans="1:24" ht="22.5" hidden="1" thickTop="1">
      <c r="B516" s="976"/>
      <c r="C516" s="1027"/>
      <c r="D516" s="1084"/>
      <c r="E516" s="747"/>
      <c r="F516" s="1027"/>
      <c r="G516" s="738"/>
      <c r="H516" s="742"/>
      <c r="I516" s="747"/>
      <c r="J516" s="978"/>
      <c r="K516" s="759"/>
      <c r="M516" s="1004"/>
    </row>
    <row r="517" spans="1:24" hidden="1">
      <c r="B517" s="976"/>
      <c r="C517" s="1023" t="s">
        <v>834</v>
      </c>
      <c r="D517" s="684"/>
      <c r="E517" s="684"/>
      <c r="F517" s="684"/>
      <c r="G517" s="684"/>
      <c r="H517" s="684"/>
      <c r="I517" s="684"/>
      <c r="J517" s="684"/>
      <c r="K517" s="759"/>
      <c r="M517" s="1004"/>
    </row>
    <row r="518" spans="1:24" hidden="1">
      <c r="B518" s="976"/>
      <c r="C518" s="684" t="s">
        <v>835</v>
      </c>
      <c r="D518" s="684"/>
      <c r="E518" s="684"/>
      <c r="F518" s="684"/>
      <c r="G518" s="684"/>
      <c r="H518" s="684"/>
      <c r="I518" s="684"/>
      <c r="J518" s="684"/>
      <c r="K518" s="759"/>
      <c r="M518" s="1004"/>
    </row>
    <row r="519" spans="1:24" hidden="1">
      <c r="B519" s="976"/>
      <c r="C519" s="684" t="s">
        <v>836</v>
      </c>
      <c r="D519" s="684"/>
      <c r="E519" s="684"/>
      <c r="F519" s="684"/>
      <c r="G519" s="684"/>
      <c r="H519" s="684"/>
      <c r="I519" s="684"/>
      <c r="J519" s="684"/>
      <c r="K519" s="759"/>
      <c r="M519" s="1004"/>
    </row>
    <row r="520" spans="1:24" hidden="1">
      <c r="B520" s="976"/>
      <c r="C520" s="1027"/>
      <c r="D520" s="1084"/>
      <c r="E520" s="747"/>
      <c r="F520" s="1027"/>
      <c r="G520" s="738"/>
      <c r="H520" s="742"/>
      <c r="I520" s="747"/>
      <c r="J520" s="978"/>
      <c r="K520" s="759"/>
      <c r="M520" s="1004"/>
    </row>
    <row r="521" spans="1:24" hidden="1">
      <c r="A521" s="1003">
        <f>ปร.4_1!A57</f>
        <v>4</v>
      </c>
      <c r="B521" s="999" t="str">
        <f>ปร.4_1!B57</f>
        <v>งานเบ็ดเตล็ด</v>
      </c>
    </row>
    <row r="522" spans="1:24" hidden="1">
      <c r="A522" s="1003"/>
      <c r="B522" s="1003">
        <f>ปร.4_1!B58</f>
        <v>4.0999999999999996</v>
      </c>
      <c r="C522" s="1002" t="str">
        <f>ปร.4_1!C58</f>
        <v>งานระบบระบายน้ำ</v>
      </c>
    </row>
    <row r="523" spans="1:24" hidden="1">
      <c r="A523" s="1003"/>
      <c r="B523" s="1003" t="str">
        <f>ปร.4_1!C59</f>
        <v>4.1.1</v>
      </c>
      <c r="C523" s="1002" t="str">
        <f>ปร.4_1!D59</f>
        <v xml:space="preserve">งานท่อระบายน้ำ คสล. ชนิดกลม </v>
      </c>
      <c r="E523" s="997" t="s">
        <v>1081</v>
      </c>
    </row>
    <row r="524" spans="1:24" hidden="1">
      <c r="A524" s="1003"/>
      <c r="B524" s="1003" t="str">
        <f>ปร.4_1!C61</f>
        <v>4.1.1(1)</v>
      </c>
      <c r="C524" s="1153" t="s">
        <v>1094</v>
      </c>
      <c r="O524" s="1139" t="s">
        <v>1069</v>
      </c>
      <c r="P524" s="1140" t="s">
        <v>1071</v>
      </c>
      <c r="Q524" s="1139" t="s">
        <v>1070</v>
      </c>
      <c r="R524" s="1139" t="s">
        <v>1072</v>
      </c>
      <c r="S524" s="1140" t="s">
        <v>1073</v>
      </c>
      <c r="T524" s="1140" t="s">
        <v>1077</v>
      </c>
      <c r="U524" s="1111" t="s">
        <v>1075</v>
      </c>
      <c r="V524" s="1006" t="s">
        <v>1076</v>
      </c>
      <c r="X524" s="976" t="s">
        <v>1402</v>
      </c>
    </row>
    <row r="525" spans="1:24" hidden="1">
      <c r="A525" s="1003"/>
      <c r="B525" s="1061"/>
      <c r="C525" s="1148" t="s">
        <v>458</v>
      </c>
      <c r="D525" s="837"/>
      <c r="E525" s="888"/>
      <c r="F525" s="1097">
        <f>P526</f>
        <v>1.19</v>
      </c>
      <c r="G525" s="888" t="s">
        <v>251</v>
      </c>
      <c r="H525" s="1097">
        <v>148</v>
      </c>
      <c r="I525" s="1016" t="s">
        <v>190</v>
      </c>
      <c r="J525" s="1097">
        <f>H525*F525</f>
        <v>176.12</v>
      </c>
      <c r="K525" s="1012" t="s">
        <v>252</v>
      </c>
      <c r="L525" s="675" t="s">
        <v>1179</v>
      </c>
      <c r="O525" s="1154">
        <v>0.4</v>
      </c>
      <c r="P525" s="1155">
        <f>0.15*O525</f>
        <v>0.06</v>
      </c>
      <c r="Q525" s="1154">
        <f>O525+(P525*2)</f>
        <v>0.52</v>
      </c>
      <c r="R525" s="1154">
        <v>0.05</v>
      </c>
      <c r="S525" s="1154">
        <v>0.5</v>
      </c>
      <c r="T525" s="1154">
        <v>0.3</v>
      </c>
      <c r="U525" s="1156">
        <f>Q525+R525+S525</f>
        <v>1.07</v>
      </c>
      <c r="V525" s="1156">
        <f>Q525+(T525*2)</f>
        <v>1.1200000000000001</v>
      </c>
      <c r="X525" s="738" t="s">
        <v>10</v>
      </c>
    </row>
    <row r="526" spans="1:24" hidden="1">
      <c r="A526" s="1003"/>
      <c r="B526" s="1061"/>
      <c r="C526" s="1148" t="s">
        <v>459</v>
      </c>
      <c r="D526" s="837"/>
      <c r="E526" s="888"/>
      <c r="F526" s="1097">
        <v>1</v>
      </c>
      <c r="G526" s="888" t="s">
        <v>243</v>
      </c>
      <c r="H526" s="1097">
        <f>ข้อมูลแหล่งราคาวัสดุ!D58</f>
        <v>650</v>
      </c>
      <c r="I526" s="1016" t="s">
        <v>190</v>
      </c>
      <c r="J526" s="1097">
        <f t="shared" ref="J526:J531" si="25">H526*F526</f>
        <v>650</v>
      </c>
      <c r="K526" s="1012" t="s">
        <v>252</v>
      </c>
      <c r="L526" s="675" t="s">
        <v>234</v>
      </c>
      <c r="O526" s="1157" t="s">
        <v>1074</v>
      </c>
      <c r="P526" s="1140">
        <f>ROUNDDOWN(U525*V525,2)</f>
        <v>1.19</v>
      </c>
      <c r="Q526" s="1139"/>
      <c r="R526" s="1139"/>
      <c r="S526" s="1140"/>
      <c r="X526" s="738" t="s">
        <v>1083</v>
      </c>
    </row>
    <row r="527" spans="1:24" hidden="1">
      <c r="A527" s="1003"/>
      <c r="B527" s="1061"/>
      <c r="C527" s="1148" t="s">
        <v>460</v>
      </c>
      <c r="D527" s="837"/>
      <c r="E527" s="888"/>
      <c r="F527" s="1097">
        <v>1</v>
      </c>
      <c r="G527" s="888" t="s">
        <v>243</v>
      </c>
      <c r="H527" s="1097">
        <f>J539</f>
        <v>59</v>
      </c>
      <c r="I527" s="1016" t="s">
        <v>190</v>
      </c>
      <c r="J527" s="1097">
        <f t="shared" si="25"/>
        <v>59</v>
      </c>
      <c r="K527" s="1012" t="s">
        <v>252</v>
      </c>
      <c r="L527" s="675" t="s">
        <v>239</v>
      </c>
      <c r="O527" s="1157" t="s">
        <v>1078</v>
      </c>
      <c r="P527" s="1140">
        <f>ROUNDDOWN((V525*(U525-(P525+R525)))-(PI()*(Q525^2)/4),2)</f>
        <v>0.86</v>
      </c>
      <c r="X527" s="738" t="s">
        <v>1085</v>
      </c>
    </row>
    <row r="528" spans="1:24" hidden="1">
      <c r="A528" s="1003"/>
      <c r="B528" s="1061"/>
      <c r="C528" s="1148" t="s">
        <v>461</v>
      </c>
      <c r="D528" s="837"/>
      <c r="E528" s="888"/>
      <c r="F528" s="1097">
        <f>P527</f>
        <v>0.86</v>
      </c>
      <c r="G528" s="888" t="s">
        <v>251</v>
      </c>
      <c r="H528" s="1097">
        <f>H74</f>
        <v>421.57000000000005</v>
      </c>
      <c r="I528" s="1016" t="s">
        <v>190</v>
      </c>
      <c r="J528" s="1097">
        <f t="shared" si="25"/>
        <v>362.55020000000002</v>
      </c>
      <c r="K528" s="1012" t="s">
        <v>252</v>
      </c>
      <c r="L528" s="675" t="s">
        <v>244</v>
      </c>
      <c r="O528" s="1157" t="s">
        <v>1079</v>
      </c>
      <c r="P528" s="1140">
        <f>ROUNDDOWN(V525*(P525+R525),2)</f>
        <v>0.12</v>
      </c>
      <c r="X528" s="738" t="s">
        <v>1086</v>
      </c>
    </row>
    <row r="529" spans="1:24" hidden="1">
      <c r="A529" s="1003"/>
      <c r="B529" s="1061"/>
      <c r="C529" s="1148" t="s">
        <v>462</v>
      </c>
      <c r="D529" s="837"/>
      <c r="E529" s="888"/>
      <c r="F529" s="1097">
        <f>P528</f>
        <v>0.12</v>
      </c>
      <c r="G529" s="888" t="s">
        <v>251</v>
      </c>
      <c r="H529" s="1097">
        <f>M1196</f>
        <v>1948</v>
      </c>
      <c r="I529" s="1016" t="s">
        <v>190</v>
      </c>
      <c r="J529" s="1097">
        <f t="shared" si="25"/>
        <v>233.76</v>
      </c>
      <c r="K529" s="1012" t="s">
        <v>252</v>
      </c>
      <c r="L529" s="675" t="s">
        <v>236</v>
      </c>
      <c r="O529" s="1157" t="s">
        <v>1080</v>
      </c>
      <c r="P529" s="1158">
        <f>ROUNDDOWN((0.5*(0.04+0.12)*0.04)*((PI()*Q525)+(PI()*O525)),3)</f>
        <v>8.9999999999999993E-3</v>
      </c>
      <c r="X529" s="738" t="s">
        <v>1087</v>
      </c>
    </row>
    <row r="530" spans="1:24" hidden="1">
      <c r="A530" s="1003"/>
      <c r="B530" s="1061"/>
      <c r="C530" s="1148" t="s">
        <v>463</v>
      </c>
      <c r="D530" s="837"/>
      <c r="E530" s="888"/>
      <c r="F530" s="1159">
        <f>P529</f>
        <v>8.9999999999999993E-3</v>
      </c>
      <c r="G530" s="888" t="s">
        <v>251</v>
      </c>
      <c r="H530" s="1097">
        <f>M1254</f>
        <v>1838</v>
      </c>
      <c r="I530" s="1016" t="s">
        <v>190</v>
      </c>
      <c r="J530" s="1097">
        <f t="shared" si="25"/>
        <v>16.541999999999998</v>
      </c>
      <c r="K530" s="1012" t="s">
        <v>252</v>
      </c>
      <c r="L530" s="675" t="s">
        <v>249</v>
      </c>
      <c r="O530" s="997"/>
      <c r="X530" s="738" t="s">
        <v>1088</v>
      </c>
    </row>
    <row r="531" spans="1:24" hidden="1">
      <c r="A531" s="1003"/>
      <c r="B531" s="1061"/>
      <c r="C531" s="1148" t="s">
        <v>464</v>
      </c>
      <c r="D531" s="837"/>
      <c r="E531" s="888"/>
      <c r="F531" s="1097">
        <v>1</v>
      </c>
      <c r="G531" s="888" t="s">
        <v>243</v>
      </c>
      <c r="H531" s="1097">
        <f>F614</f>
        <v>80</v>
      </c>
      <c r="I531" s="1016" t="s">
        <v>190</v>
      </c>
      <c r="J531" s="1067">
        <f t="shared" si="25"/>
        <v>80</v>
      </c>
      <c r="K531" s="1012" t="s">
        <v>252</v>
      </c>
      <c r="L531" s="675" t="s">
        <v>246</v>
      </c>
      <c r="O531" s="997"/>
    </row>
    <row r="532" spans="1:24" ht="22.5" hidden="1" thickBot="1">
      <c r="A532" s="1003"/>
      <c r="B532" s="1061"/>
      <c r="C532" s="684" t="s">
        <v>195</v>
      </c>
      <c r="D532" s="837"/>
      <c r="E532" s="1012"/>
      <c r="F532" s="1012"/>
      <c r="G532" s="1012"/>
      <c r="H532" s="667"/>
      <c r="I532" s="1016" t="s">
        <v>190</v>
      </c>
      <c r="J532" s="1025">
        <f>ROUNDDOWN(SUM(J525:J531),0)</f>
        <v>1577</v>
      </c>
      <c r="K532" s="1012" t="s">
        <v>252</v>
      </c>
      <c r="L532" s="1160" t="s">
        <v>465</v>
      </c>
    </row>
    <row r="533" spans="1:24" ht="22.5" hidden="1" thickTop="1">
      <c r="A533" s="1003"/>
      <c r="B533" s="999"/>
    </row>
    <row r="534" spans="1:24" hidden="1">
      <c r="A534" s="1003"/>
      <c r="B534" s="1161" t="s">
        <v>3</v>
      </c>
      <c r="C534" s="1162"/>
      <c r="D534" s="1163"/>
      <c r="E534" s="1162"/>
      <c r="F534" s="1162"/>
      <c r="G534" s="1157"/>
      <c r="H534" s="1162"/>
      <c r="I534" s="1162"/>
      <c r="J534" s="1162"/>
      <c r="K534" s="1162"/>
      <c r="L534" s="1164"/>
      <c r="M534" s="1164"/>
      <c r="N534" s="1164"/>
    </row>
    <row r="535" spans="1:24" hidden="1">
      <c r="A535" s="1003"/>
      <c r="B535" s="1165"/>
      <c r="C535" s="1162" t="s">
        <v>1126</v>
      </c>
      <c r="D535" s="1163"/>
      <c r="E535" s="1162"/>
      <c r="F535" s="1162"/>
      <c r="G535" s="1157"/>
      <c r="H535" s="1162"/>
      <c r="I535" s="1162"/>
      <c r="J535" s="1162"/>
      <c r="K535" s="1162"/>
      <c r="L535" s="1164"/>
      <c r="M535" s="1164"/>
      <c r="N535" s="1164"/>
    </row>
    <row r="536" spans="1:24" hidden="1">
      <c r="A536" s="1003"/>
      <c r="B536" s="1165"/>
      <c r="C536" s="1162" t="s">
        <v>1127</v>
      </c>
      <c r="D536" s="1163"/>
      <c r="E536" s="1162"/>
      <c r="F536" s="1166"/>
      <c r="G536" s="1157"/>
      <c r="H536" s="1162"/>
      <c r="I536" s="1167" t="s">
        <v>190</v>
      </c>
      <c r="J536" s="1166">
        <v>300</v>
      </c>
      <c r="K536" s="1168" t="s">
        <v>238</v>
      </c>
      <c r="L536" s="1164"/>
      <c r="M536" s="1164"/>
      <c r="N536" s="1164"/>
    </row>
    <row r="537" spans="1:24" hidden="1">
      <c r="A537" s="1003"/>
      <c r="B537" s="1165"/>
      <c r="C537" s="1162" t="s">
        <v>136</v>
      </c>
      <c r="D537" s="1163"/>
      <c r="E537" s="1157"/>
      <c r="F537" s="1162"/>
      <c r="G537" s="1157">
        <f>ข้อมูลแหล่งราคาวัสดุ!H58</f>
        <v>55</v>
      </c>
      <c r="H537" s="1162" t="s">
        <v>181</v>
      </c>
      <c r="I537" s="1167" t="s">
        <v>190</v>
      </c>
      <c r="J537" s="1162">
        <f>ข้อมูลแหล่งราคาวัสดุ!I58</f>
        <v>122.4</v>
      </c>
      <c r="K537" s="1162" t="s">
        <v>182</v>
      </c>
      <c r="L537" s="1164"/>
      <c r="M537" s="1164"/>
      <c r="N537" s="1164"/>
    </row>
    <row r="538" spans="1:24" hidden="1">
      <c r="A538" s="1003"/>
      <c r="B538" s="1165"/>
      <c r="C538" s="1162" t="s">
        <v>1128</v>
      </c>
      <c r="D538" s="1169">
        <f>J537</f>
        <v>122.4</v>
      </c>
      <c r="E538" s="1157" t="s">
        <v>203</v>
      </c>
      <c r="F538" s="1169">
        <v>13</v>
      </c>
      <c r="G538" s="1157" t="s">
        <v>1129</v>
      </c>
      <c r="H538" s="1169">
        <f>J536</f>
        <v>300</v>
      </c>
      <c r="I538" s="1167" t="s">
        <v>190</v>
      </c>
      <c r="J538" s="1162">
        <f>(D538*F538)+H538</f>
        <v>1891.2</v>
      </c>
      <c r="K538" s="1162" t="s">
        <v>1130</v>
      </c>
      <c r="L538" s="1164"/>
      <c r="M538" s="1164"/>
      <c r="N538" s="1164"/>
    </row>
    <row r="539" spans="1:24" ht="22.5" hidden="1" thickBot="1">
      <c r="A539" s="1003"/>
      <c r="B539" s="1165"/>
      <c r="C539" s="1162" t="s">
        <v>596</v>
      </c>
      <c r="D539" s="1163"/>
      <c r="E539" s="1162"/>
      <c r="F539" s="1169">
        <f>J538</f>
        <v>1891.2</v>
      </c>
      <c r="G539" s="1157" t="s">
        <v>241</v>
      </c>
      <c r="H539" s="1169">
        <f>D614</f>
        <v>32</v>
      </c>
      <c r="I539" s="1167" t="s">
        <v>190</v>
      </c>
      <c r="J539" s="1170">
        <f>ROUNDDOWN(F539/H539,0)</f>
        <v>59</v>
      </c>
      <c r="K539" s="1162" t="s">
        <v>252</v>
      </c>
      <c r="L539" s="1164"/>
      <c r="M539" s="1164"/>
      <c r="N539" s="1164"/>
    </row>
    <row r="540" spans="1:24" ht="22.5" hidden="1" thickTop="1">
      <c r="A540" s="1003"/>
      <c r="B540" s="1165"/>
      <c r="C540" s="1162"/>
      <c r="D540" s="1163"/>
      <c r="E540" s="1162"/>
      <c r="F540" s="1162"/>
      <c r="G540" s="1157"/>
      <c r="H540" s="1162"/>
      <c r="I540" s="1162"/>
      <c r="J540" s="1162"/>
      <c r="K540" s="1162"/>
      <c r="L540" s="1164"/>
      <c r="M540" s="1164"/>
      <c r="N540" s="1164"/>
    </row>
    <row r="541" spans="1:24" hidden="1">
      <c r="A541" s="1003"/>
      <c r="B541" s="999" t="str">
        <f>ปร.4_1!C62</f>
        <v>4.1.1(2)</v>
      </c>
      <c r="C541" s="1153" t="s">
        <v>1093</v>
      </c>
      <c r="O541" s="1139" t="s">
        <v>1069</v>
      </c>
      <c r="P541" s="1140" t="s">
        <v>1071</v>
      </c>
      <c r="Q541" s="1139" t="s">
        <v>1070</v>
      </c>
      <c r="R541" s="1139" t="s">
        <v>1072</v>
      </c>
      <c r="S541" s="1140" t="s">
        <v>1073</v>
      </c>
      <c r="T541" s="1140" t="s">
        <v>1077</v>
      </c>
      <c r="U541" s="1111" t="s">
        <v>1075</v>
      </c>
      <c r="V541" s="1006" t="s">
        <v>1076</v>
      </c>
    </row>
    <row r="542" spans="1:24" hidden="1">
      <c r="A542" s="1003"/>
      <c r="B542" s="999"/>
      <c r="C542" s="1148" t="s">
        <v>458</v>
      </c>
      <c r="D542" s="837"/>
      <c r="E542" s="888"/>
      <c r="F542" s="1097">
        <f>P543</f>
        <v>1.75</v>
      </c>
      <c r="G542" s="888" t="s">
        <v>251</v>
      </c>
      <c r="H542" s="1097">
        <v>148</v>
      </c>
      <c r="I542" s="1016" t="s">
        <v>190</v>
      </c>
      <c r="J542" s="1097">
        <f>H542*F542</f>
        <v>259</v>
      </c>
      <c r="K542" s="1012" t="s">
        <v>252</v>
      </c>
      <c r="L542" s="675" t="s">
        <v>1179</v>
      </c>
      <c r="O542" s="1154">
        <v>0.6</v>
      </c>
      <c r="P542" s="1155">
        <v>7.4999999999999997E-2</v>
      </c>
      <c r="Q542" s="1154">
        <f>O542+(P542*2)</f>
        <v>0.75</v>
      </c>
      <c r="R542" s="1154">
        <v>0.05</v>
      </c>
      <c r="S542" s="1154">
        <v>0.5</v>
      </c>
      <c r="T542" s="1154">
        <v>0.3</v>
      </c>
      <c r="U542" s="1156">
        <f>Q542+R542+S542</f>
        <v>1.3</v>
      </c>
      <c r="V542" s="1156">
        <f>Q542+(T542*2)</f>
        <v>1.35</v>
      </c>
    </row>
    <row r="543" spans="1:24" hidden="1">
      <c r="A543" s="1003"/>
      <c r="B543" s="999"/>
      <c r="C543" s="1148" t="s">
        <v>459</v>
      </c>
      <c r="D543" s="837"/>
      <c r="E543" s="888"/>
      <c r="F543" s="1097">
        <v>1</v>
      </c>
      <c r="G543" s="888" t="s">
        <v>243</v>
      </c>
      <c r="H543" s="1097">
        <f>ข้อมูลแหล่งราคาวัสดุ!D59</f>
        <v>850</v>
      </c>
      <c r="I543" s="1016" t="s">
        <v>190</v>
      </c>
      <c r="J543" s="1097">
        <f t="shared" ref="J543:J548" si="26">H543*F543</f>
        <v>850</v>
      </c>
      <c r="K543" s="1012" t="s">
        <v>252</v>
      </c>
      <c r="L543" s="675" t="s">
        <v>234</v>
      </c>
      <c r="O543" s="1157" t="s">
        <v>1074</v>
      </c>
      <c r="P543" s="1140">
        <f>ROUNDDOWN(U542*V542,2)</f>
        <v>1.75</v>
      </c>
      <c r="Q543" s="1139"/>
      <c r="R543" s="1139"/>
      <c r="S543" s="1140"/>
    </row>
    <row r="544" spans="1:24" hidden="1">
      <c r="A544" s="1003"/>
      <c r="B544" s="999"/>
      <c r="C544" s="1148" t="s">
        <v>460</v>
      </c>
      <c r="D544" s="837"/>
      <c r="E544" s="888"/>
      <c r="F544" s="1097">
        <v>1</v>
      </c>
      <c r="G544" s="888" t="s">
        <v>243</v>
      </c>
      <c r="H544" s="1097">
        <f>J556</f>
        <v>78</v>
      </c>
      <c r="I544" s="1016" t="s">
        <v>190</v>
      </c>
      <c r="J544" s="1097">
        <f t="shared" si="26"/>
        <v>78</v>
      </c>
      <c r="K544" s="1012" t="s">
        <v>252</v>
      </c>
      <c r="L544" s="675" t="s">
        <v>239</v>
      </c>
      <c r="O544" s="1157" t="s">
        <v>1078</v>
      </c>
      <c r="P544" s="1140">
        <f>ROUNDDOWN((V542*(U542-(P542+R542)))-(PI()*(Q542^2)/4),2)</f>
        <v>1.1399999999999999</v>
      </c>
    </row>
    <row r="545" spans="1:22" hidden="1">
      <c r="A545" s="1003"/>
      <c r="B545" s="999"/>
      <c r="C545" s="1148" t="s">
        <v>461</v>
      </c>
      <c r="D545" s="837"/>
      <c r="E545" s="888"/>
      <c r="F545" s="1097">
        <f>P544</f>
        <v>1.1399999999999999</v>
      </c>
      <c r="G545" s="888" t="s">
        <v>251</v>
      </c>
      <c r="H545" s="1097">
        <f>H74</f>
        <v>421.57000000000005</v>
      </c>
      <c r="I545" s="1016" t="s">
        <v>190</v>
      </c>
      <c r="J545" s="1097">
        <f t="shared" si="26"/>
        <v>480.58980000000003</v>
      </c>
      <c r="K545" s="1012" t="s">
        <v>252</v>
      </c>
      <c r="L545" s="675" t="s">
        <v>244</v>
      </c>
      <c r="O545" s="1157" t="s">
        <v>1079</v>
      </c>
      <c r="P545" s="1140">
        <f>ROUNDDOWN(V542*(P542+R542),2)</f>
        <v>0.16</v>
      </c>
    </row>
    <row r="546" spans="1:22" hidden="1">
      <c r="A546" s="1003"/>
      <c r="B546" s="999"/>
      <c r="C546" s="1148" t="s">
        <v>462</v>
      </c>
      <c r="D546" s="837"/>
      <c r="E546" s="888"/>
      <c r="F546" s="1097">
        <f>P545</f>
        <v>0.16</v>
      </c>
      <c r="G546" s="888" t="s">
        <v>251</v>
      </c>
      <c r="H546" s="1097">
        <f>M1196</f>
        <v>1948</v>
      </c>
      <c r="I546" s="1016" t="s">
        <v>190</v>
      </c>
      <c r="J546" s="1097">
        <f t="shared" si="26"/>
        <v>311.68</v>
      </c>
      <c r="K546" s="1012" t="s">
        <v>252</v>
      </c>
      <c r="L546" s="675" t="s">
        <v>236</v>
      </c>
      <c r="O546" s="1157" t="s">
        <v>1080</v>
      </c>
      <c r="P546" s="1158">
        <f>ROUNDDOWN((0.5*(0.04+0.12)*0.04)*((PI()*Q542)+(PI()*O542)),3)</f>
        <v>1.2999999999999999E-2</v>
      </c>
    </row>
    <row r="547" spans="1:22" hidden="1">
      <c r="A547" s="1003"/>
      <c r="B547" s="999"/>
      <c r="C547" s="1148" t="s">
        <v>463</v>
      </c>
      <c r="D547" s="837"/>
      <c r="E547" s="888"/>
      <c r="F547" s="1159">
        <f>P546</f>
        <v>1.2999999999999999E-2</v>
      </c>
      <c r="G547" s="888" t="s">
        <v>251</v>
      </c>
      <c r="H547" s="1097">
        <f>M1254</f>
        <v>1838</v>
      </c>
      <c r="I547" s="1016" t="s">
        <v>190</v>
      </c>
      <c r="J547" s="1097">
        <f t="shared" si="26"/>
        <v>23.893999999999998</v>
      </c>
      <c r="K547" s="1012" t="s">
        <v>252</v>
      </c>
      <c r="L547" s="675" t="s">
        <v>249</v>
      </c>
    </row>
    <row r="548" spans="1:22" hidden="1">
      <c r="A548" s="1003"/>
      <c r="B548" s="999"/>
      <c r="C548" s="1148" t="s">
        <v>464</v>
      </c>
      <c r="D548" s="837"/>
      <c r="E548" s="888"/>
      <c r="F548" s="1097">
        <v>1</v>
      </c>
      <c r="G548" s="888" t="s">
        <v>243</v>
      </c>
      <c r="H548" s="1097">
        <f>F616</f>
        <v>120</v>
      </c>
      <c r="I548" s="1016" t="s">
        <v>190</v>
      </c>
      <c r="J548" s="1067">
        <f t="shared" si="26"/>
        <v>120</v>
      </c>
      <c r="K548" s="1012" t="s">
        <v>252</v>
      </c>
      <c r="L548" s="675" t="s">
        <v>246</v>
      </c>
    </row>
    <row r="549" spans="1:22" ht="22.5" hidden="1" thickBot="1">
      <c r="A549" s="1003"/>
      <c r="B549" s="999"/>
      <c r="C549" s="684" t="s">
        <v>195</v>
      </c>
      <c r="D549" s="837"/>
      <c r="E549" s="1012"/>
      <c r="F549" s="1012"/>
      <c r="G549" s="1012"/>
      <c r="H549" s="667"/>
      <c r="I549" s="1016" t="s">
        <v>190</v>
      </c>
      <c r="J549" s="1025">
        <f>ROUNDDOWN(SUM(J542:J548),0)</f>
        <v>2123</v>
      </c>
      <c r="K549" s="1012" t="s">
        <v>252</v>
      </c>
      <c r="L549" s="1160" t="s">
        <v>465</v>
      </c>
    </row>
    <row r="550" spans="1:22" ht="22.5" hidden="1" thickTop="1">
      <c r="A550" s="1003"/>
      <c r="B550" s="999"/>
    </row>
    <row r="551" spans="1:22" hidden="1">
      <c r="A551" s="1003"/>
      <c r="B551" s="1161" t="s">
        <v>3</v>
      </c>
      <c r="C551" s="1162"/>
      <c r="D551" s="1163"/>
      <c r="E551" s="1162"/>
      <c r="F551" s="1162"/>
      <c r="G551" s="1157"/>
      <c r="H551" s="1162"/>
      <c r="I551" s="1162"/>
      <c r="J551" s="1162"/>
      <c r="K551" s="1162"/>
      <c r="L551" s="1164"/>
      <c r="M551" s="1164"/>
      <c r="N551" s="1164"/>
    </row>
    <row r="552" spans="1:22" hidden="1">
      <c r="A552" s="1003"/>
      <c r="B552" s="1165"/>
      <c r="C552" s="1162" t="s">
        <v>1126</v>
      </c>
      <c r="D552" s="1163"/>
      <c r="E552" s="1162"/>
      <c r="F552" s="1162"/>
      <c r="G552" s="1157"/>
      <c r="H552" s="1162"/>
      <c r="I552" s="1162"/>
      <c r="J552" s="1162"/>
      <c r="K552" s="1162"/>
      <c r="L552" s="1164"/>
      <c r="M552" s="1164"/>
      <c r="N552" s="1164"/>
    </row>
    <row r="553" spans="1:22" hidden="1">
      <c r="A553" s="1003"/>
      <c r="B553" s="1165"/>
      <c r="C553" s="1162" t="s">
        <v>1127</v>
      </c>
      <c r="D553" s="1163"/>
      <c r="E553" s="1162"/>
      <c r="F553" s="1166"/>
      <c r="G553" s="1157"/>
      <c r="H553" s="1162"/>
      <c r="I553" s="1167" t="s">
        <v>190</v>
      </c>
      <c r="J553" s="1166">
        <v>300</v>
      </c>
      <c r="K553" s="1168" t="s">
        <v>238</v>
      </c>
      <c r="L553" s="1164"/>
      <c r="M553" s="1164"/>
      <c r="N553" s="1164"/>
    </row>
    <row r="554" spans="1:22" hidden="1">
      <c r="A554" s="1003"/>
      <c r="B554" s="1165"/>
      <c r="C554" s="1162" t="s">
        <v>136</v>
      </c>
      <c r="D554" s="1163"/>
      <c r="E554" s="1157"/>
      <c r="F554" s="1162"/>
      <c r="G554" s="1157">
        <f>ข้อมูลแหล่งราคาวัสดุ!H59</f>
        <v>55</v>
      </c>
      <c r="H554" s="1162" t="s">
        <v>181</v>
      </c>
      <c r="I554" s="1167" t="s">
        <v>190</v>
      </c>
      <c r="J554" s="1162">
        <f>ข้อมูลแหล่งราคาวัสดุ!I59</f>
        <v>122.4</v>
      </c>
      <c r="K554" s="1162" t="s">
        <v>182</v>
      </c>
      <c r="L554" s="1164"/>
      <c r="M554" s="1164"/>
      <c r="N554" s="1164"/>
    </row>
    <row r="555" spans="1:22" hidden="1">
      <c r="A555" s="1003"/>
      <c r="B555" s="1165"/>
      <c r="C555" s="1162" t="s">
        <v>1128</v>
      </c>
      <c r="D555" s="1169">
        <f>J554</f>
        <v>122.4</v>
      </c>
      <c r="E555" s="1157" t="s">
        <v>203</v>
      </c>
      <c r="F555" s="1169">
        <v>13</v>
      </c>
      <c r="G555" s="1157" t="s">
        <v>1129</v>
      </c>
      <c r="H555" s="1169">
        <f>J553</f>
        <v>300</v>
      </c>
      <c r="I555" s="1167" t="s">
        <v>190</v>
      </c>
      <c r="J555" s="1162">
        <f>(D555*F555)+H555</f>
        <v>1891.2</v>
      </c>
      <c r="K555" s="1162" t="s">
        <v>1130</v>
      </c>
      <c r="L555" s="1164"/>
      <c r="M555" s="1164"/>
      <c r="N555" s="1164"/>
    </row>
    <row r="556" spans="1:22" ht="22.5" hidden="1" thickBot="1">
      <c r="A556" s="1003"/>
      <c r="B556" s="1165"/>
      <c r="C556" s="1162" t="s">
        <v>596</v>
      </c>
      <c r="D556" s="1163"/>
      <c r="E556" s="1162"/>
      <c r="F556" s="1169">
        <f>J555</f>
        <v>1891.2</v>
      </c>
      <c r="G556" s="1157" t="s">
        <v>241</v>
      </c>
      <c r="H556" s="1169">
        <f>D616</f>
        <v>24</v>
      </c>
      <c r="I556" s="1167" t="s">
        <v>190</v>
      </c>
      <c r="J556" s="1170">
        <f>ROUNDDOWN(F556/H556,0)</f>
        <v>78</v>
      </c>
      <c r="K556" s="1162" t="s">
        <v>252</v>
      </c>
      <c r="L556" s="1164"/>
      <c r="M556" s="1164"/>
      <c r="N556" s="1164"/>
    </row>
    <row r="557" spans="1:22" ht="22.5" hidden="1" thickTop="1">
      <c r="A557" s="1003"/>
      <c r="B557" s="999"/>
    </row>
    <row r="558" spans="1:22" hidden="1">
      <c r="A558" s="1003"/>
      <c r="B558" s="999" t="str">
        <f>ปร.4_1!C63</f>
        <v>4.1.1(3)</v>
      </c>
      <c r="C558" s="1153" t="s">
        <v>1092</v>
      </c>
      <c r="O558" s="1139" t="s">
        <v>1069</v>
      </c>
      <c r="P558" s="1140" t="s">
        <v>1071</v>
      </c>
      <c r="Q558" s="1139" t="s">
        <v>1070</v>
      </c>
      <c r="R558" s="1139" t="s">
        <v>1072</v>
      </c>
      <c r="S558" s="1140" t="s">
        <v>1073</v>
      </c>
      <c r="T558" s="1140" t="s">
        <v>1077</v>
      </c>
      <c r="U558" s="1111" t="s">
        <v>1075</v>
      </c>
      <c r="V558" s="1006" t="s">
        <v>1076</v>
      </c>
    </row>
    <row r="559" spans="1:22" hidden="1">
      <c r="A559" s="1003"/>
      <c r="B559" s="999"/>
      <c r="C559" s="1148" t="s">
        <v>458</v>
      </c>
      <c r="D559" s="837"/>
      <c r="E559" s="888"/>
      <c r="F559" s="1097">
        <f>P560</f>
        <v>2.44</v>
      </c>
      <c r="G559" s="888" t="s">
        <v>251</v>
      </c>
      <c r="H559" s="1097">
        <v>148</v>
      </c>
      <c r="I559" s="1016" t="s">
        <v>190</v>
      </c>
      <c r="J559" s="1097">
        <f>H559*F559</f>
        <v>361.12</v>
      </c>
      <c r="K559" s="1012" t="s">
        <v>252</v>
      </c>
      <c r="L559" s="675" t="s">
        <v>1179</v>
      </c>
      <c r="O559" s="1154">
        <v>0.8</v>
      </c>
      <c r="P559" s="1155">
        <v>9.5000000000000001E-2</v>
      </c>
      <c r="Q559" s="1154">
        <f>O559+(P559*2)</f>
        <v>0.99</v>
      </c>
      <c r="R559" s="1154">
        <v>0.05</v>
      </c>
      <c r="S559" s="1154">
        <v>0.5</v>
      </c>
      <c r="T559" s="1154">
        <v>0.3</v>
      </c>
      <c r="U559" s="1156">
        <f>Q559+R559+S559</f>
        <v>1.54</v>
      </c>
      <c r="V559" s="1156">
        <f>Q559+(T559*2)</f>
        <v>1.5899999999999999</v>
      </c>
    </row>
    <row r="560" spans="1:22" hidden="1">
      <c r="A560" s="1003"/>
      <c r="B560" s="999"/>
      <c r="C560" s="1148" t="s">
        <v>459</v>
      </c>
      <c r="D560" s="837"/>
      <c r="E560" s="888"/>
      <c r="F560" s="1097">
        <v>1</v>
      </c>
      <c r="G560" s="888" t="s">
        <v>243</v>
      </c>
      <c r="H560" s="1097">
        <f>ข้อมูลแหล่งราคาวัสดุ!D60</f>
        <v>1250</v>
      </c>
      <c r="I560" s="1016" t="s">
        <v>190</v>
      </c>
      <c r="J560" s="1097">
        <f t="shared" ref="J560:J565" si="27">H560*F560</f>
        <v>1250</v>
      </c>
      <c r="K560" s="1012" t="s">
        <v>252</v>
      </c>
      <c r="L560" s="675" t="s">
        <v>234</v>
      </c>
      <c r="O560" s="1157" t="s">
        <v>1074</v>
      </c>
      <c r="P560" s="1140">
        <f>ROUNDDOWN(U559*V559,2)</f>
        <v>2.44</v>
      </c>
      <c r="Q560" s="1139"/>
      <c r="R560" s="1139"/>
      <c r="S560" s="1140"/>
    </row>
    <row r="561" spans="1:22" hidden="1">
      <c r="A561" s="1003"/>
      <c r="B561" s="999"/>
      <c r="C561" s="1148" t="s">
        <v>460</v>
      </c>
      <c r="D561" s="837"/>
      <c r="E561" s="888"/>
      <c r="F561" s="1097">
        <v>1</v>
      </c>
      <c r="G561" s="888" t="s">
        <v>243</v>
      </c>
      <c r="H561" s="1097">
        <f>J573</f>
        <v>105</v>
      </c>
      <c r="I561" s="1016" t="s">
        <v>190</v>
      </c>
      <c r="J561" s="1097">
        <f t="shared" si="27"/>
        <v>105</v>
      </c>
      <c r="K561" s="1012" t="s">
        <v>252</v>
      </c>
      <c r="L561" s="675" t="s">
        <v>239</v>
      </c>
      <c r="O561" s="1157" t="s">
        <v>1078</v>
      </c>
      <c r="P561" s="1140">
        <f>ROUNDDOWN((V559*(U559-(P559+R559)))-(PI()*(Q559^2)/4),2)</f>
        <v>1.44</v>
      </c>
    </row>
    <row r="562" spans="1:22" hidden="1">
      <c r="A562" s="1003"/>
      <c r="B562" s="999"/>
      <c r="C562" s="1148" t="s">
        <v>461</v>
      </c>
      <c r="D562" s="837"/>
      <c r="E562" s="888"/>
      <c r="F562" s="1097">
        <f>P561</f>
        <v>1.44</v>
      </c>
      <c r="G562" s="888" t="s">
        <v>251</v>
      </c>
      <c r="H562" s="1097">
        <f>H74</f>
        <v>421.57000000000005</v>
      </c>
      <c r="I562" s="1016" t="s">
        <v>190</v>
      </c>
      <c r="J562" s="1097">
        <f t="shared" si="27"/>
        <v>607.06080000000009</v>
      </c>
      <c r="K562" s="1012" t="s">
        <v>252</v>
      </c>
      <c r="L562" s="675" t="s">
        <v>244</v>
      </c>
      <c r="O562" s="1157" t="s">
        <v>1079</v>
      </c>
      <c r="P562" s="1140">
        <f>ROUNDDOWN(V559*(P559+R559),2)</f>
        <v>0.23</v>
      </c>
    </row>
    <row r="563" spans="1:22" hidden="1">
      <c r="A563" s="1003"/>
      <c r="B563" s="999"/>
      <c r="C563" s="1148" t="s">
        <v>462</v>
      </c>
      <c r="D563" s="837"/>
      <c r="E563" s="888"/>
      <c r="F563" s="1097">
        <f>P562</f>
        <v>0.23</v>
      </c>
      <c r="G563" s="888" t="s">
        <v>251</v>
      </c>
      <c r="H563" s="1097">
        <f>M1196</f>
        <v>1948</v>
      </c>
      <c r="I563" s="1016" t="s">
        <v>190</v>
      </c>
      <c r="J563" s="1097">
        <f t="shared" si="27"/>
        <v>448.04</v>
      </c>
      <c r="K563" s="1012" t="s">
        <v>252</v>
      </c>
      <c r="L563" s="675" t="s">
        <v>236</v>
      </c>
      <c r="O563" s="1157" t="s">
        <v>1080</v>
      </c>
      <c r="P563" s="1158">
        <f>ROUNDDOWN((0.5*(0.04+0.12)*0.04)*((PI()*Q559)+(PI()*O559)),3)</f>
        <v>1.7000000000000001E-2</v>
      </c>
    </row>
    <row r="564" spans="1:22" hidden="1">
      <c r="A564" s="1003"/>
      <c r="B564" s="999"/>
      <c r="C564" s="1148" t="s">
        <v>463</v>
      </c>
      <c r="D564" s="837"/>
      <c r="E564" s="888"/>
      <c r="F564" s="1159">
        <f>P563</f>
        <v>1.7000000000000001E-2</v>
      </c>
      <c r="G564" s="888" t="s">
        <v>251</v>
      </c>
      <c r="H564" s="1097">
        <f>M1254</f>
        <v>1838</v>
      </c>
      <c r="I564" s="1016" t="s">
        <v>190</v>
      </c>
      <c r="J564" s="1097">
        <f t="shared" si="27"/>
        <v>31.246000000000002</v>
      </c>
      <c r="K564" s="1012" t="s">
        <v>252</v>
      </c>
      <c r="L564" s="675" t="s">
        <v>249</v>
      </c>
    </row>
    <row r="565" spans="1:22" hidden="1">
      <c r="A565" s="1003"/>
      <c r="B565" s="999"/>
      <c r="C565" s="1148" t="s">
        <v>464</v>
      </c>
      <c r="D565" s="837"/>
      <c r="E565" s="888"/>
      <c r="F565" s="1097">
        <v>1</v>
      </c>
      <c r="G565" s="888" t="s">
        <v>243</v>
      </c>
      <c r="H565" s="1097">
        <f>F617</f>
        <v>160</v>
      </c>
      <c r="I565" s="1016" t="s">
        <v>190</v>
      </c>
      <c r="J565" s="1067">
        <f t="shared" si="27"/>
        <v>160</v>
      </c>
      <c r="K565" s="1012" t="s">
        <v>252</v>
      </c>
      <c r="L565" s="675" t="s">
        <v>246</v>
      </c>
    </row>
    <row r="566" spans="1:22" ht="22.5" hidden="1" thickBot="1">
      <c r="A566" s="1003"/>
      <c r="B566" s="999"/>
      <c r="C566" s="684" t="s">
        <v>195</v>
      </c>
      <c r="D566" s="837"/>
      <c r="E566" s="1012"/>
      <c r="F566" s="1012"/>
      <c r="G566" s="1012"/>
      <c r="H566" s="667"/>
      <c r="I566" s="1016" t="s">
        <v>190</v>
      </c>
      <c r="J566" s="1025">
        <f>ROUNDDOWN(SUM(J559:J565),0)</f>
        <v>2962</v>
      </c>
      <c r="K566" s="1012" t="s">
        <v>252</v>
      </c>
      <c r="L566" s="1160" t="s">
        <v>465</v>
      </c>
    </row>
    <row r="567" spans="1:22" ht="22.5" hidden="1" thickTop="1">
      <c r="A567" s="1003"/>
      <c r="B567" s="999"/>
    </row>
    <row r="568" spans="1:22" hidden="1">
      <c r="A568" s="1003"/>
      <c r="B568" s="1161" t="s">
        <v>3</v>
      </c>
      <c r="C568" s="1162"/>
      <c r="D568" s="1163"/>
      <c r="E568" s="1162"/>
      <c r="F568" s="1162"/>
      <c r="G568" s="1157"/>
      <c r="H568" s="1162"/>
      <c r="I568" s="1162"/>
      <c r="J568" s="1162"/>
      <c r="K568" s="1162"/>
      <c r="L568" s="1164"/>
      <c r="M568" s="1164"/>
      <c r="N568" s="1164"/>
    </row>
    <row r="569" spans="1:22" hidden="1">
      <c r="A569" s="1003"/>
      <c r="B569" s="1165"/>
      <c r="C569" s="1162" t="s">
        <v>1126</v>
      </c>
      <c r="D569" s="1163"/>
      <c r="E569" s="1162"/>
      <c r="F569" s="1162"/>
      <c r="G569" s="1157"/>
      <c r="H569" s="1162"/>
      <c r="I569" s="1162"/>
      <c r="J569" s="1162"/>
      <c r="K569" s="1162"/>
      <c r="L569" s="1164"/>
      <c r="M569" s="1164"/>
      <c r="N569" s="1164"/>
    </row>
    <row r="570" spans="1:22" hidden="1">
      <c r="A570" s="1003"/>
      <c r="B570" s="1165"/>
      <c r="C570" s="1162" t="s">
        <v>1127</v>
      </c>
      <c r="D570" s="1163"/>
      <c r="E570" s="1162"/>
      <c r="F570" s="1166"/>
      <c r="G570" s="1157"/>
      <c r="H570" s="1162"/>
      <c r="I570" s="1167" t="s">
        <v>190</v>
      </c>
      <c r="J570" s="1166">
        <v>300</v>
      </c>
      <c r="K570" s="1168" t="s">
        <v>238</v>
      </c>
      <c r="L570" s="1164"/>
      <c r="M570" s="1164"/>
      <c r="N570" s="1164"/>
    </row>
    <row r="571" spans="1:22" hidden="1">
      <c r="A571" s="1003"/>
      <c r="B571" s="1165"/>
      <c r="C571" s="1162" t="s">
        <v>136</v>
      </c>
      <c r="D571" s="1163"/>
      <c r="E571" s="1157"/>
      <c r="F571" s="1162"/>
      <c r="G571" s="1157">
        <f>ข้อมูลแหล่งราคาวัสดุ!H60</f>
        <v>55</v>
      </c>
      <c r="H571" s="1162" t="s">
        <v>181</v>
      </c>
      <c r="I571" s="1167" t="s">
        <v>190</v>
      </c>
      <c r="J571" s="1162">
        <f>ข้อมูลแหล่งราคาวัสดุ!I60</f>
        <v>122.4</v>
      </c>
      <c r="K571" s="1162" t="s">
        <v>182</v>
      </c>
      <c r="L571" s="1164"/>
      <c r="M571" s="1164"/>
      <c r="N571" s="1164"/>
    </row>
    <row r="572" spans="1:22" hidden="1">
      <c r="A572" s="1003"/>
      <c r="B572" s="1165"/>
      <c r="C572" s="1162" t="s">
        <v>1128</v>
      </c>
      <c r="D572" s="1169">
        <f>J571</f>
        <v>122.4</v>
      </c>
      <c r="E572" s="1157" t="s">
        <v>203</v>
      </c>
      <c r="F572" s="1169">
        <v>13</v>
      </c>
      <c r="G572" s="1157" t="s">
        <v>1129</v>
      </c>
      <c r="H572" s="1169">
        <f>J570</f>
        <v>300</v>
      </c>
      <c r="I572" s="1167" t="s">
        <v>190</v>
      </c>
      <c r="J572" s="1162">
        <f>(D572*F572)+H572</f>
        <v>1891.2</v>
      </c>
      <c r="K572" s="1162" t="s">
        <v>1130</v>
      </c>
      <c r="L572" s="1164"/>
      <c r="M572" s="1164"/>
      <c r="N572" s="1164"/>
    </row>
    <row r="573" spans="1:22" ht="22.5" hidden="1" thickBot="1">
      <c r="A573" s="1003"/>
      <c r="B573" s="1165"/>
      <c r="C573" s="1162" t="s">
        <v>596</v>
      </c>
      <c r="D573" s="1163"/>
      <c r="E573" s="1162"/>
      <c r="F573" s="1169">
        <f>J572</f>
        <v>1891.2</v>
      </c>
      <c r="G573" s="1157" t="s">
        <v>241</v>
      </c>
      <c r="H573" s="1169">
        <f>D617</f>
        <v>18</v>
      </c>
      <c r="I573" s="1167" t="s">
        <v>190</v>
      </c>
      <c r="J573" s="1170">
        <f>ROUNDDOWN(F573/H573,0)</f>
        <v>105</v>
      </c>
      <c r="K573" s="1162" t="s">
        <v>252</v>
      </c>
      <c r="L573" s="1164"/>
      <c r="M573" s="1164"/>
      <c r="N573" s="1164"/>
    </row>
    <row r="574" spans="1:22" ht="22.5" hidden="1" thickTop="1">
      <c r="A574" s="1003"/>
      <c r="B574" s="999"/>
    </row>
    <row r="575" spans="1:22" hidden="1">
      <c r="A575" s="1003"/>
      <c r="B575" s="999" t="str">
        <f>ปร.4_1!C64</f>
        <v>4.1.1(4)</v>
      </c>
      <c r="C575" s="1153" t="s">
        <v>1091</v>
      </c>
      <c r="O575" s="1139" t="s">
        <v>1069</v>
      </c>
      <c r="P575" s="1140" t="s">
        <v>1071</v>
      </c>
      <c r="Q575" s="1139" t="s">
        <v>1070</v>
      </c>
      <c r="R575" s="1139" t="s">
        <v>1072</v>
      </c>
      <c r="S575" s="1140" t="s">
        <v>1073</v>
      </c>
      <c r="T575" s="1140" t="s">
        <v>1077</v>
      </c>
      <c r="U575" s="1111" t="s">
        <v>1075</v>
      </c>
      <c r="V575" s="1006" t="s">
        <v>1076</v>
      </c>
    </row>
    <row r="576" spans="1:22" hidden="1">
      <c r="A576" s="1003"/>
      <c r="B576" s="999"/>
      <c r="C576" s="1148" t="s">
        <v>458</v>
      </c>
      <c r="D576" s="837"/>
      <c r="E576" s="888"/>
      <c r="F576" s="1097">
        <f>P577</f>
        <v>3.22</v>
      </c>
      <c r="G576" s="888" t="s">
        <v>251</v>
      </c>
      <c r="H576" s="1097">
        <v>148</v>
      </c>
      <c r="I576" s="1016" t="s">
        <v>190</v>
      </c>
      <c r="J576" s="1097">
        <f>H576*F576</f>
        <v>476.56</v>
      </c>
      <c r="K576" s="1012" t="s">
        <v>252</v>
      </c>
      <c r="L576" s="675" t="s">
        <v>1179</v>
      </c>
      <c r="O576" s="1154">
        <v>1</v>
      </c>
      <c r="P576" s="1155">
        <v>0.11</v>
      </c>
      <c r="Q576" s="1154">
        <f>O576+(P576*2)</f>
        <v>1.22</v>
      </c>
      <c r="R576" s="1154">
        <v>0.05</v>
      </c>
      <c r="S576" s="1154">
        <v>0.5</v>
      </c>
      <c r="T576" s="1154">
        <v>0.3</v>
      </c>
      <c r="U576" s="1156">
        <f>Q576+R576+S576</f>
        <v>1.77</v>
      </c>
      <c r="V576" s="1156">
        <f>Q576+(T576*2)</f>
        <v>1.8199999999999998</v>
      </c>
    </row>
    <row r="577" spans="1:22" hidden="1">
      <c r="A577" s="1003"/>
      <c r="B577" s="999"/>
      <c r="C577" s="1148" t="s">
        <v>459</v>
      </c>
      <c r="D577" s="837"/>
      <c r="E577" s="888"/>
      <c r="F577" s="1097">
        <v>1</v>
      </c>
      <c r="G577" s="888" t="s">
        <v>243</v>
      </c>
      <c r="H577" s="1097">
        <f>ข้อมูลแหล่งราคาวัสดุ!D61</f>
        <v>2100</v>
      </c>
      <c r="I577" s="1016" t="s">
        <v>190</v>
      </c>
      <c r="J577" s="1097">
        <f t="shared" ref="J577:J582" si="28">H577*F577</f>
        <v>2100</v>
      </c>
      <c r="K577" s="1012" t="s">
        <v>252</v>
      </c>
      <c r="L577" s="675" t="s">
        <v>234</v>
      </c>
      <c r="O577" s="1157" t="s">
        <v>1074</v>
      </c>
      <c r="P577" s="1140">
        <f>ROUNDDOWN(U576*V576,2)</f>
        <v>3.22</v>
      </c>
      <c r="Q577" s="1139"/>
      <c r="R577" s="1139"/>
      <c r="S577" s="1140"/>
    </row>
    <row r="578" spans="1:22" hidden="1">
      <c r="A578" s="1003"/>
      <c r="B578" s="999"/>
      <c r="C578" s="1148" t="s">
        <v>460</v>
      </c>
      <c r="D578" s="837"/>
      <c r="E578" s="888"/>
      <c r="F578" s="1097">
        <v>1</v>
      </c>
      <c r="G578" s="888" t="s">
        <v>243</v>
      </c>
      <c r="H578" s="1097">
        <f>J590</f>
        <v>189</v>
      </c>
      <c r="I578" s="1016" t="s">
        <v>190</v>
      </c>
      <c r="J578" s="1097">
        <f t="shared" si="28"/>
        <v>189</v>
      </c>
      <c r="K578" s="1012" t="s">
        <v>252</v>
      </c>
      <c r="L578" s="675" t="s">
        <v>239</v>
      </c>
      <c r="O578" s="1157" t="s">
        <v>1078</v>
      </c>
      <c r="P578" s="1140">
        <f>ROUNDDOWN((V576*(U576-(P576+R576)))-(PI()*(Q576^2)/4),2)</f>
        <v>1.76</v>
      </c>
    </row>
    <row r="579" spans="1:22" hidden="1">
      <c r="A579" s="1003"/>
      <c r="B579" s="999"/>
      <c r="C579" s="1148" t="s">
        <v>461</v>
      </c>
      <c r="D579" s="837"/>
      <c r="E579" s="888"/>
      <c r="F579" s="1097">
        <f>P578</f>
        <v>1.76</v>
      </c>
      <c r="G579" s="888" t="s">
        <v>251</v>
      </c>
      <c r="H579" s="1097">
        <f>H74</f>
        <v>421.57000000000005</v>
      </c>
      <c r="I579" s="1016" t="s">
        <v>190</v>
      </c>
      <c r="J579" s="1097">
        <f t="shared" si="28"/>
        <v>741.96320000000014</v>
      </c>
      <c r="K579" s="1012" t="s">
        <v>252</v>
      </c>
      <c r="L579" s="675" t="s">
        <v>244</v>
      </c>
      <c r="O579" s="1157" t="s">
        <v>1079</v>
      </c>
      <c r="P579" s="1140">
        <f>ROUNDDOWN(V576*(P576+R576),2)</f>
        <v>0.28999999999999998</v>
      </c>
    </row>
    <row r="580" spans="1:22" hidden="1">
      <c r="A580" s="1003"/>
      <c r="B580" s="999"/>
      <c r="C580" s="1148" t="s">
        <v>462</v>
      </c>
      <c r="D580" s="837"/>
      <c r="E580" s="888"/>
      <c r="F580" s="1097">
        <f>P579</f>
        <v>0.28999999999999998</v>
      </c>
      <c r="G580" s="888" t="s">
        <v>251</v>
      </c>
      <c r="H580" s="1097">
        <f>M1196</f>
        <v>1948</v>
      </c>
      <c r="I580" s="1016" t="s">
        <v>190</v>
      </c>
      <c r="J580" s="1097">
        <f t="shared" si="28"/>
        <v>564.91999999999996</v>
      </c>
      <c r="K580" s="1012" t="s">
        <v>252</v>
      </c>
      <c r="L580" s="675" t="s">
        <v>236</v>
      </c>
      <c r="O580" s="1157" t="s">
        <v>1080</v>
      </c>
      <c r="P580" s="1158">
        <f>ROUNDDOWN((0.5*(0.04+0.12)*0.04)*((PI()*Q576)+(PI()*O576)),3)</f>
        <v>2.1999999999999999E-2</v>
      </c>
    </row>
    <row r="581" spans="1:22" hidden="1">
      <c r="A581" s="1003"/>
      <c r="B581" s="999"/>
      <c r="C581" s="1148" t="s">
        <v>463</v>
      </c>
      <c r="D581" s="837"/>
      <c r="E581" s="888"/>
      <c r="F581" s="1159">
        <f>P580</f>
        <v>2.1999999999999999E-2</v>
      </c>
      <c r="G581" s="888" t="s">
        <v>251</v>
      </c>
      <c r="H581" s="1097">
        <f>M1254</f>
        <v>1838</v>
      </c>
      <c r="I581" s="1016" t="s">
        <v>190</v>
      </c>
      <c r="J581" s="1097">
        <f t="shared" si="28"/>
        <v>40.436</v>
      </c>
      <c r="K581" s="1012" t="s">
        <v>252</v>
      </c>
      <c r="L581" s="675" t="s">
        <v>249</v>
      </c>
    </row>
    <row r="582" spans="1:22" hidden="1">
      <c r="A582" s="1003"/>
      <c r="B582" s="999"/>
      <c r="C582" s="1148" t="s">
        <v>464</v>
      </c>
      <c r="D582" s="837"/>
      <c r="E582" s="888"/>
      <c r="F582" s="1097">
        <v>1</v>
      </c>
      <c r="G582" s="888" t="s">
        <v>243</v>
      </c>
      <c r="H582" s="1097">
        <f>F618</f>
        <v>200</v>
      </c>
      <c r="I582" s="1016" t="s">
        <v>190</v>
      </c>
      <c r="J582" s="1067">
        <f t="shared" si="28"/>
        <v>200</v>
      </c>
      <c r="K582" s="1012" t="s">
        <v>252</v>
      </c>
      <c r="L582" s="675" t="s">
        <v>246</v>
      </c>
    </row>
    <row r="583" spans="1:22" ht="22.5" hidden="1" thickBot="1">
      <c r="A583" s="1003"/>
      <c r="B583" s="999"/>
      <c r="C583" s="684" t="s">
        <v>195</v>
      </c>
      <c r="D583" s="837"/>
      <c r="E583" s="1012"/>
      <c r="F583" s="1012"/>
      <c r="G583" s="1012"/>
      <c r="H583" s="667"/>
      <c r="I583" s="1016" t="s">
        <v>190</v>
      </c>
      <c r="J583" s="1025">
        <f>ROUNDDOWN(SUM(J576:J582),0)</f>
        <v>4312</v>
      </c>
      <c r="K583" s="1012" t="s">
        <v>252</v>
      </c>
      <c r="L583" s="1160" t="s">
        <v>465</v>
      </c>
    </row>
    <row r="584" spans="1:22" ht="22.5" hidden="1" thickTop="1">
      <c r="A584" s="1003"/>
      <c r="B584" s="999"/>
    </row>
    <row r="585" spans="1:22" hidden="1">
      <c r="A585" s="1003"/>
      <c r="B585" s="1161" t="s">
        <v>3</v>
      </c>
      <c r="C585" s="1162"/>
      <c r="D585" s="1163"/>
      <c r="E585" s="1162"/>
      <c r="F585" s="1162"/>
      <c r="G585" s="1157"/>
      <c r="H585" s="1162"/>
      <c r="I585" s="1162"/>
      <c r="J585" s="1162"/>
      <c r="K585" s="1162"/>
      <c r="L585" s="1164"/>
      <c r="M585" s="1164"/>
      <c r="N585" s="1164"/>
    </row>
    <row r="586" spans="1:22" hidden="1">
      <c r="A586" s="1003"/>
      <c r="B586" s="1165"/>
      <c r="C586" s="1162" t="s">
        <v>1126</v>
      </c>
      <c r="D586" s="1163"/>
      <c r="E586" s="1162"/>
      <c r="F586" s="1162"/>
      <c r="G586" s="1157"/>
      <c r="H586" s="1162"/>
      <c r="I586" s="1162"/>
      <c r="J586" s="1162"/>
      <c r="K586" s="1162"/>
      <c r="L586" s="1164"/>
      <c r="M586" s="1164"/>
      <c r="N586" s="1164"/>
    </row>
    <row r="587" spans="1:22" hidden="1">
      <c r="A587" s="1003"/>
      <c r="B587" s="1165"/>
      <c r="C587" s="1162" t="s">
        <v>1127</v>
      </c>
      <c r="D587" s="1163"/>
      <c r="E587" s="1162"/>
      <c r="F587" s="1166"/>
      <c r="G587" s="1157"/>
      <c r="H587" s="1162"/>
      <c r="I587" s="1167" t="s">
        <v>190</v>
      </c>
      <c r="J587" s="1166">
        <v>300</v>
      </c>
      <c r="K587" s="1168" t="s">
        <v>238</v>
      </c>
      <c r="L587" s="1164"/>
      <c r="M587" s="1164"/>
      <c r="N587" s="1164"/>
    </row>
    <row r="588" spans="1:22" hidden="1">
      <c r="A588" s="1003"/>
      <c r="B588" s="1165"/>
      <c r="C588" s="1162" t="s">
        <v>136</v>
      </c>
      <c r="D588" s="1163"/>
      <c r="E588" s="1157"/>
      <c r="F588" s="1162"/>
      <c r="G588" s="1157">
        <f>ข้อมูลแหล่งราคาวัสดุ!H61</f>
        <v>55</v>
      </c>
      <c r="H588" s="1162" t="s">
        <v>181</v>
      </c>
      <c r="I588" s="1167" t="s">
        <v>190</v>
      </c>
      <c r="J588" s="1162">
        <f>ข้อมูลแหล่งราคาวัสดุ!I61</f>
        <v>122.4</v>
      </c>
      <c r="K588" s="1162" t="s">
        <v>182</v>
      </c>
      <c r="L588" s="1164"/>
      <c r="M588" s="1164"/>
      <c r="N588" s="1164"/>
    </row>
    <row r="589" spans="1:22" hidden="1">
      <c r="A589" s="1003"/>
      <c r="B589" s="1165"/>
      <c r="C589" s="1162" t="s">
        <v>1128</v>
      </c>
      <c r="D589" s="1169">
        <f>J588</f>
        <v>122.4</v>
      </c>
      <c r="E589" s="1157" t="s">
        <v>203</v>
      </c>
      <c r="F589" s="1169">
        <v>13</v>
      </c>
      <c r="G589" s="1157" t="s">
        <v>1129</v>
      </c>
      <c r="H589" s="1169">
        <f>J587</f>
        <v>300</v>
      </c>
      <c r="I589" s="1167" t="s">
        <v>190</v>
      </c>
      <c r="J589" s="1162">
        <f>(D589*F589)+H589</f>
        <v>1891.2</v>
      </c>
      <c r="K589" s="1162" t="s">
        <v>1130</v>
      </c>
      <c r="L589" s="1164"/>
      <c r="M589" s="1164"/>
      <c r="N589" s="1164"/>
    </row>
    <row r="590" spans="1:22" ht="22.5" hidden="1" thickBot="1">
      <c r="A590" s="1003"/>
      <c r="B590" s="1165"/>
      <c r="C590" s="1162" t="s">
        <v>596</v>
      </c>
      <c r="D590" s="1163"/>
      <c r="E590" s="1162"/>
      <c r="F590" s="1169">
        <f>J589</f>
        <v>1891.2</v>
      </c>
      <c r="G590" s="1157" t="s">
        <v>241</v>
      </c>
      <c r="H590" s="1169">
        <f>D618</f>
        <v>10</v>
      </c>
      <c r="I590" s="1167" t="s">
        <v>190</v>
      </c>
      <c r="J590" s="1170">
        <f>ROUNDDOWN(F590/H590,0)</f>
        <v>189</v>
      </c>
      <c r="K590" s="1162" t="s">
        <v>252</v>
      </c>
      <c r="L590" s="1164"/>
      <c r="M590" s="1164"/>
      <c r="N590" s="1164"/>
    </row>
    <row r="591" spans="1:22" ht="22.5" hidden="1" thickTop="1">
      <c r="A591" s="1003"/>
      <c r="B591" s="999"/>
    </row>
    <row r="592" spans="1:22" hidden="1">
      <c r="A592" s="1003"/>
      <c r="B592" s="999" t="str">
        <f>ปร.4_1!C65</f>
        <v>4.1.1(5)</v>
      </c>
      <c r="C592" s="1153" t="s">
        <v>1090</v>
      </c>
      <c r="O592" s="1139" t="s">
        <v>1069</v>
      </c>
      <c r="P592" s="1140" t="s">
        <v>1071</v>
      </c>
      <c r="Q592" s="1139" t="s">
        <v>1070</v>
      </c>
      <c r="R592" s="1139" t="s">
        <v>1072</v>
      </c>
      <c r="S592" s="1140" t="s">
        <v>1073</v>
      </c>
      <c r="T592" s="1140" t="s">
        <v>1077</v>
      </c>
      <c r="U592" s="1111" t="s">
        <v>1075</v>
      </c>
      <c r="V592" s="1006" t="s">
        <v>1076</v>
      </c>
    </row>
    <row r="593" spans="1:22" hidden="1">
      <c r="A593" s="1003"/>
      <c r="B593" s="999"/>
      <c r="C593" s="1148" t="s">
        <v>458</v>
      </c>
      <c r="D593" s="837"/>
      <c r="E593" s="888"/>
      <c r="F593" s="1097">
        <f>P594</f>
        <v>4.0999999999999996</v>
      </c>
      <c r="G593" s="888" t="s">
        <v>251</v>
      </c>
      <c r="H593" s="1097">
        <v>148</v>
      </c>
      <c r="I593" s="1016" t="s">
        <v>190</v>
      </c>
      <c r="J593" s="1097">
        <f>H593*F593</f>
        <v>606.79999999999995</v>
      </c>
      <c r="K593" s="1012" t="s">
        <v>252</v>
      </c>
      <c r="L593" s="675" t="s">
        <v>1179</v>
      </c>
      <c r="O593" s="1154">
        <v>1.2</v>
      </c>
      <c r="P593" s="1155">
        <v>0.125</v>
      </c>
      <c r="Q593" s="1154">
        <f>O593+(P593*2)</f>
        <v>1.45</v>
      </c>
      <c r="R593" s="1154">
        <v>0.05</v>
      </c>
      <c r="S593" s="1154">
        <v>0.5</v>
      </c>
      <c r="T593" s="1154">
        <v>0.3</v>
      </c>
      <c r="U593" s="1156">
        <f>Q593+R593+S593</f>
        <v>2</v>
      </c>
      <c r="V593" s="1156">
        <f>Q593+(T593*2)</f>
        <v>2.0499999999999998</v>
      </c>
    </row>
    <row r="594" spans="1:22" hidden="1">
      <c r="A594" s="1003"/>
      <c r="B594" s="999"/>
      <c r="C594" s="1148" t="s">
        <v>459</v>
      </c>
      <c r="D594" s="837"/>
      <c r="E594" s="888"/>
      <c r="F594" s="1097">
        <v>1</v>
      </c>
      <c r="G594" s="888" t="s">
        <v>243</v>
      </c>
      <c r="H594" s="1097">
        <f>ข้อมูลแหล่งราคาวัสดุ!D62</f>
        <v>3200</v>
      </c>
      <c r="I594" s="1016" t="s">
        <v>190</v>
      </c>
      <c r="J594" s="1097">
        <f t="shared" ref="J594:J599" si="29">H594*F594</f>
        <v>3200</v>
      </c>
      <c r="K594" s="1012" t="s">
        <v>252</v>
      </c>
      <c r="L594" s="675" t="s">
        <v>234</v>
      </c>
      <c r="O594" s="1157" t="s">
        <v>1074</v>
      </c>
      <c r="P594" s="1140">
        <f>ROUNDDOWN(U593*V593,2)</f>
        <v>4.0999999999999996</v>
      </c>
      <c r="Q594" s="1139"/>
      <c r="R594" s="1139"/>
      <c r="S594" s="1140"/>
    </row>
    <row r="595" spans="1:22" hidden="1">
      <c r="A595" s="1003"/>
      <c r="B595" s="999"/>
      <c r="C595" s="1148" t="s">
        <v>460</v>
      </c>
      <c r="D595" s="837"/>
      <c r="E595" s="888"/>
      <c r="F595" s="1097">
        <v>1</v>
      </c>
      <c r="G595" s="888" t="s">
        <v>243</v>
      </c>
      <c r="H595" s="1097">
        <f>J607</f>
        <v>236</v>
      </c>
      <c r="I595" s="1016" t="s">
        <v>190</v>
      </c>
      <c r="J595" s="1097">
        <f t="shared" si="29"/>
        <v>236</v>
      </c>
      <c r="K595" s="1012" t="s">
        <v>252</v>
      </c>
      <c r="L595" s="675" t="s">
        <v>239</v>
      </c>
      <c r="O595" s="1157" t="s">
        <v>1078</v>
      </c>
      <c r="P595" s="1140">
        <f>ROUNDDOWN((V593*(U593-(P593+R593)))-(PI()*(Q593^2)/4),2)</f>
        <v>2.08</v>
      </c>
    </row>
    <row r="596" spans="1:22" hidden="1">
      <c r="A596" s="1003"/>
      <c r="B596" s="999"/>
      <c r="C596" s="1148" t="s">
        <v>461</v>
      </c>
      <c r="D596" s="837"/>
      <c r="E596" s="888"/>
      <c r="F596" s="1097">
        <f>P595</f>
        <v>2.08</v>
      </c>
      <c r="G596" s="888" t="s">
        <v>251</v>
      </c>
      <c r="H596" s="1097">
        <f>H74</f>
        <v>421.57000000000005</v>
      </c>
      <c r="I596" s="1016" t="s">
        <v>190</v>
      </c>
      <c r="J596" s="1097">
        <f t="shared" si="29"/>
        <v>876.86560000000009</v>
      </c>
      <c r="K596" s="1012" t="s">
        <v>252</v>
      </c>
      <c r="L596" s="675" t="s">
        <v>244</v>
      </c>
      <c r="O596" s="1157" t="s">
        <v>1079</v>
      </c>
      <c r="P596" s="1140">
        <f>ROUNDDOWN(V593*(P593+R593),2)</f>
        <v>0.35</v>
      </c>
    </row>
    <row r="597" spans="1:22" hidden="1">
      <c r="A597" s="1003"/>
      <c r="B597" s="999"/>
      <c r="C597" s="1148" t="s">
        <v>462</v>
      </c>
      <c r="D597" s="837"/>
      <c r="E597" s="888"/>
      <c r="F597" s="1097">
        <f>P596</f>
        <v>0.35</v>
      </c>
      <c r="G597" s="888" t="s">
        <v>251</v>
      </c>
      <c r="H597" s="1097">
        <f>M1196</f>
        <v>1948</v>
      </c>
      <c r="I597" s="1016" t="s">
        <v>190</v>
      </c>
      <c r="J597" s="1097">
        <f t="shared" si="29"/>
        <v>681.8</v>
      </c>
      <c r="K597" s="1012" t="s">
        <v>252</v>
      </c>
      <c r="L597" s="675" t="s">
        <v>236</v>
      </c>
      <c r="O597" s="1157" t="s">
        <v>1080</v>
      </c>
      <c r="P597" s="1158">
        <f>ROUNDDOWN((0.5*(0.04+0.12)*0.04)*((PI()*Q593)+(PI()*O593)),3)</f>
        <v>2.5999999999999999E-2</v>
      </c>
    </row>
    <row r="598" spans="1:22" hidden="1">
      <c r="A598" s="1003"/>
      <c r="B598" s="999"/>
      <c r="C598" s="1148" t="s">
        <v>463</v>
      </c>
      <c r="D598" s="837"/>
      <c r="E598" s="888"/>
      <c r="F598" s="1159">
        <f>P597</f>
        <v>2.5999999999999999E-2</v>
      </c>
      <c r="G598" s="888" t="s">
        <v>251</v>
      </c>
      <c r="H598" s="1097">
        <f>M1254</f>
        <v>1838</v>
      </c>
      <c r="I598" s="1016" t="s">
        <v>190</v>
      </c>
      <c r="J598" s="1097">
        <f t="shared" si="29"/>
        <v>47.787999999999997</v>
      </c>
      <c r="K598" s="1012" t="s">
        <v>252</v>
      </c>
      <c r="L598" s="675" t="s">
        <v>249</v>
      </c>
    </row>
    <row r="599" spans="1:22" hidden="1">
      <c r="A599" s="1003"/>
      <c r="B599" s="999"/>
      <c r="C599" s="1148" t="s">
        <v>464</v>
      </c>
      <c r="D599" s="837"/>
      <c r="E599" s="888"/>
      <c r="F599" s="1097">
        <v>1</v>
      </c>
      <c r="G599" s="888" t="s">
        <v>243</v>
      </c>
      <c r="H599" s="1097">
        <f>F619</f>
        <v>250</v>
      </c>
      <c r="I599" s="1016" t="s">
        <v>190</v>
      </c>
      <c r="J599" s="1067">
        <f t="shared" si="29"/>
        <v>250</v>
      </c>
      <c r="K599" s="1012" t="s">
        <v>252</v>
      </c>
      <c r="L599" s="675" t="s">
        <v>246</v>
      </c>
    </row>
    <row r="600" spans="1:22" ht="22.5" hidden="1" thickBot="1">
      <c r="A600" s="1003"/>
      <c r="B600" s="999"/>
      <c r="C600" s="684" t="s">
        <v>195</v>
      </c>
      <c r="D600" s="837"/>
      <c r="E600" s="1012"/>
      <c r="F600" s="1012"/>
      <c r="G600" s="1012"/>
      <c r="H600" s="667"/>
      <c r="I600" s="1016" t="s">
        <v>190</v>
      </c>
      <c r="J600" s="1025">
        <f>ROUNDDOWN(SUM(J593:J599),0)</f>
        <v>5899</v>
      </c>
      <c r="K600" s="1012" t="s">
        <v>252</v>
      </c>
      <c r="L600" s="1160" t="s">
        <v>465</v>
      </c>
    </row>
    <row r="601" spans="1:22" ht="22.5" hidden="1" thickTop="1">
      <c r="A601" s="1003"/>
      <c r="B601" s="999"/>
    </row>
    <row r="602" spans="1:22" hidden="1">
      <c r="A602" s="1003"/>
      <c r="B602" s="1161" t="s">
        <v>3</v>
      </c>
      <c r="C602" s="1162"/>
      <c r="D602" s="1163"/>
      <c r="E602" s="1162"/>
      <c r="F602" s="1162"/>
      <c r="G602" s="1157"/>
      <c r="H602" s="1162"/>
      <c r="I602" s="1162"/>
      <c r="J602" s="1162"/>
      <c r="K602" s="1162"/>
      <c r="L602" s="1164"/>
      <c r="M602" s="1164"/>
      <c r="N602" s="1164"/>
    </row>
    <row r="603" spans="1:22" hidden="1">
      <c r="A603" s="1003"/>
      <c r="B603" s="1165"/>
      <c r="C603" s="1162" t="s">
        <v>1126</v>
      </c>
      <c r="D603" s="1163"/>
      <c r="E603" s="1162"/>
      <c r="F603" s="1162"/>
      <c r="G603" s="1157"/>
      <c r="H603" s="1162"/>
      <c r="I603" s="1162"/>
      <c r="J603" s="1162"/>
      <c r="K603" s="1162"/>
      <c r="L603" s="1164"/>
      <c r="M603" s="1164"/>
      <c r="N603" s="1164"/>
    </row>
    <row r="604" spans="1:22" hidden="1">
      <c r="A604" s="1003"/>
      <c r="B604" s="1165"/>
      <c r="C604" s="1162" t="s">
        <v>1127</v>
      </c>
      <c r="D604" s="1163"/>
      <c r="E604" s="1162"/>
      <c r="F604" s="1166"/>
      <c r="G604" s="1157"/>
      <c r="H604" s="1162"/>
      <c r="I604" s="1167" t="s">
        <v>190</v>
      </c>
      <c r="J604" s="1166">
        <v>300</v>
      </c>
      <c r="K604" s="1168" t="s">
        <v>238</v>
      </c>
      <c r="L604" s="1164"/>
      <c r="M604" s="1164"/>
      <c r="N604" s="1164"/>
    </row>
    <row r="605" spans="1:22" hidden="1">
      <c r="A605" s="1003"/>
      <c r="B605" s="1165"/>
      <c r="C605" s="1162" t="s">
        <v>136</v>
      </c>
      <c r="D605" s="1163"/>
      <c r="E605" s="1157"/>
      <c r="F605" s="1162"/>
      <c r="G605" s="1157">
        <f>ข้อมูลแหล่งราคาวัสดุ!H62</f>
        <v>55</v>
      </c>
      <c r="H605" s="1162" t="s">
        <v>181</v>
      </c>
      <c r="I605" s="1167" t="s">
        <v>190</v>
      </c>
      <c r="J605" s="1162">
        <f>ข้อมูลแหล่งราคาวัสดุ!I62</f>
        <v>122.4</v>
      </c>
      <c r="K605" s="1162" t="s">
        <v>182</v>
      </c>
      <c r="L605" s="1164"/>
      <c r="M605" s="1164"/>
      <c r="N605" s="1164"/>
    </row>
    <row r="606" spans="1:22" hidden="1">
      <c r="A606" s="1003"/>
      <c r="B606" s="1165"/>
      <c r="C606" s="1162" t="s">
        <v>1128</v>
      </c>
      <c r="D606" s="1169">
        <f>J605</f>
        <v>122.4</v>
      </c>
      <c r="E606" s="1157" t="s">
        <v>203</v>
      </c>
      <c r="F606" s="1169">
        <v>13</v>
      </c>
      <c r="G606" s="1157" t="s">
        <v>1129</v>
      </c>
      <c r="H606" s="1169">
        <f>J604</f>
        <v>300</v>
      </c>
      <c r="I606" s="1167" t="s">
        <v>190</v>
      </c>
      <c r="J606" s="1162">
        <f>(D606*F606)+H606</f>
        <v>1891.2</v>
      </c>
      <c r="K606" s="1162" t="s">
        <v>1130</v>
      </c>
      <c r="L606" s="1164"/>
      <c r="M606" s="1164"/>
      <c r="N606" s="1164"/>
    </row>
    <row r="607" spans="1:22" ht="22.5" hidden="1" thickBot="1">
      <c r="A607" s="1003"/>
      <c r="B607" s="1165"/>
      <c r="C607" s="1162" t="s">
        <v>596</v>
      </c>
      <c r="D607" s="1163"/>
      <c r="E607" s="1162"/>
      <c r="F607" s="1169">
        <f>J606</f>
        <v>1891.2</v>
      </c>
      <c r="G607" s="1157" t="s">
        <v>241</v>
      </c>
      <c r="H607" s="1169">
        <f>D619</f>
        <v>8</v>
      </c>
      <c r="I607" s="1167" t="s">
        <v>190</v>
      </c>
      <c r="J607" s="1170">
        <f>ROUNDDOWN(F607/H607,0)</f>
        <v>236</v>
      </c>
      <c r="K607" s="1162" t="s">
        <v>252</v>
      </c>
      <c r="L607" s="1164"/>
      <c r="M607" s="1164"/>
      <c r="N607" s="1164"/>
    </row>
    <row r="608" spans="1:22" ht="22.5" hidden="1" thickTop="1">
      <c r="A608" s="1003"/>
      <c r="B608" s="999"/>
    </row>
    <row r="609" spans="1:25" ht="22.5" hidden="1" thickBot="1">
      <c r="A609" s="1003"/>
      <c r="B609" s="999"/>
      <c r="C609" s="1009" t="s">
        <v>837</v>
      </c>
      <c r="D609" s="684"/>
      <c r="E609" s="684"/>
      <c r="F609" s="684"/>
      <c r="G609" s="684"/>
    </row>
    <row r="610" spans="1:25" hidden="1">
      <c r="A610" s="1003"/>
      <c r="B610" s="999"/>
      <c r="C610" s="1171" t="s">
        <v>838</v>
      </c>
      <c r="D610" s="1677" t="s">
        <v>839</v>
      </c>
      <c r="E610" s="1678"/>
      <c r="F610" s="1677" t="s">
        <v>842</v>
      </c>
      <c r="G610" s="1678"/>
      <c r="H610" s="1641" t="s">
        <v>840</v>
      </c>
      <c r="I610" s="1641"/>
      <c r="J610" s="1641" t="s">
        <v>845</v>
      </c>
      <c r="K610" s="1641"/>
    </row>
    <row r="611" spans="1:25" hidden="1">
      <c r="A611" s="1003"/>
      <c r="B611" s="999"/>
      <c r="C611" s="1691" t="s">
        <v>811</v>
      </c>
      <c r="D611" s="1693" t="s">
        <v>811</v>
      </c>
      <c r="E611" s="1694"/>
      <c r="F611" s="1679" t="s">
        <v>843</v>
      </c>
      <c r="G611" s="1680"/>
      <c r="H611" s="1642" t="s">
        <v>841</v>
      </c>
      <c r="I611" s="1642"/>
      <c r="J611" s="1642" t="s">
        <v>517</v>
      </c>
      <c r="K611" s="1642"/>
    </row>
    <row r="612" spans="1:25" ht="22.5" hidden="1" thickBot="1">
      <c r="A612" s="1003"/>
      <c r="B612" s="999"/>
      <c r="C612" s="1692"/>
      <c r="D612" s="1695"/>
      <c r="E612" s="1696"/>
      <c r="F612" s="1681" t="s">
        <v>844</v>
      </c>
      <c r="G612" s="1682"/>
      <c r="H612" s="1642" t="s">
        <v>812</v>
      </c>
      <c r="I612" s="1642"/>
      <c r="J612" s="1648" t="s">
        <v>812</v>
      </c>
      <c r="K612" s="1648"/>
    </row>
    <row r="613" spans="1:25" hidden="1">
      <c r="A613" s="1003"/>
      <c r="B613" s="999"/>
      <c r="C613" s="1087" t="s">
        <v>1082</v>
      </c>
      <c r="D613" s="1683">
        <v>48</v>
      </c>
      <c r="E613" s="1684"/>
      <c r="F613" s="1683">
        <v>60</v>
      </c>
      <c r="G613" s="1684"/>
      <c r="H613" s="1639">
        <v>0.126</v>
      </c>
      <c r="I613" s="1639"/>
      <c r="J613" s="1650"/>
      <c r="K613" s="1650"/>
    </row>
    <row r="614" spans="1:25" hidden="1">
      <c r="A614" s="1003"/>
      <c r="B614" s="999"/>
      <c r="C614" s="1089" t="s">
        <v>1083</v>
      </c>
      <c r="D614" s="1644">
        <v>32</v>
      </c>
      <c r="E614" s="1645"/>
      <c r="F614" s="1644">
        <v>80</v>
      </c>
      <c r="G614" s="1645"/>
      <c r="H614" s="1640">
        <v>0.21199999999999999</v>
      </c>
      <c r="I614" s="1640"/>
      <c r="J614" s="1651">
        <f>F529</f>
        <v>0.12</v>
      </c>
      <c r="K614" s="1652"/>
    </row>
    <row r="615" spans="1:25" hidden="1">
      <c r="A615" s="1003"/>
      <c r="B615" s="999"/>
      <c r="C615" s="1089" t="s">
        <v>1084</v>
      </c>
      <c r="D615" s="1644">
        <v>24</v>
      </c>
      <c r="E615" s="1645"/>
      <c r="F615" s="1644">
        <v>100</v>
      </c>
      <c r="G615" s="1645"/>
      <c r="H615" s="1640">
        <v>0.32200000000000001</v>
      </c>
      <c r="I615" s="1640"/>
      <c r="J615" s="1643"/>
      <c r="K615" s="1643"/>
    </row>
    <row r="616" spans="1:25" hidden="1">
      <c r="A616" s="1003"/>
      <c r="B616" s="999"/>
      <c r="C616" s="1089" t="s">
        <v>1085</v>
      </c>
      <c r="D616" s="1644">
        <v>24</v>
      </c>
      <c r="E616" s="1645"/>
      <c r="F616" s="1644">
        <v>120</v>
      </c>
      <c r="G616" s="1645"/>
      <c r="H616" s="1640">
        <v>0.442</v>
      </c>
      <c r="I616" s="1640"/>
      <c r="J616" s="1643">
        <f>F546</f>
        <v>0.16</v>
      </c>
      <c r="K616" s="1643"/>
    </row>
    <row r="617" spans="1:25" hidden="1">
      <c r="A617" s="1003"/>
      <c r="B617" s="999"/>
      <c r="C617" s="1089" t="s">
        <v>1086</v>
      </c>
      <c r="D617" s="1644">
        <v>18</v>
      </c>
      <c r="E617" s="1645"/>
      <c r="F617" s="1644">
        <v>160</v>
      </c>
      <c r="G617" s="1645"/>
      <c r="H617" s="1640">
        <v>0.77</v>
      </c>
      <c r="I617" s="1640"/>
      <c r="J617" s="1643">
        <f>F563</f>
        <v>0.23</v>
      </c>
      <c r="K617" s="1643"/>
    </row>
    <row r="618" spans="1:25" hidden="1">
      <c r="A618" s="1003"/>
      <c r="B618" s="999"/>
      <c r="C618" s="1089" t="s">
        <v>1087</v>
      </c>
      <c r="D618" s="1644">
        <v>10</v>
      </c>
      <c r="E618" s="1645"/>
      <c r="F618" s="1644">
        <v>200</v>
      </c>
      <c r="G618" s="1645"/>
      <c r="H618" s="1640">
        <v>1.169</v>
      </c>
      <c r="I618" s="1640"/>
      <c r="J618" s="1643">
        <f>F580</f>
        <v>0.28999999999999998</v>
      </c>
      <c r="K618" s="1643"/>
    </row>
    <row r="619" spans="1:25" hidden="1">
      <c r="A619" s="1003"/>
      <c r="B619" s="999"/>
      <c r="C619" s="1089" t="s">
        <v>1088</v>
      </c>
      <c r="D619" s="1644">
        <v>8</v>
      </c>
      <c r="E619" s="1645"/>
      <c r="F619" s="1644">
        <v>250</v>
      </c>
      <c r="G619" s="1645"/>
      <c r="H619" s="1640">
        <v>1.651</v>
      </c>
      <c r="I619" s="1640"/>
      <c r="J619" s="1643">
        <f>F597</f>
        <v>0.35</v>
      </c>
      <c r="K619" s="1643"/>
    </row>
    <row r="620" spans="1:25" ht="22.5" hidden="1" thickBot="1">
      <c r="A620" s="1003"/>
      <c r="B620" s="999"/>
      <c r="C620" s="1088" t="s">
        <v>1089</v>
      </c>
      <c r="D620" s="1646">
        <v>5</v>
      </c>
      <c r="E620" s="1647"/>
      <c r="F620" s="1646">
        <v>320</v>
      </c>
      <c r="G620" s="1647"/>
      <c r="H620" s="1649">
        <v>2.5449999999999999</v>
      </c>
      <c r="I620" s="1649"/>
      <c r="J620" s="1638"/>
      <c r="K620" s="1638"/>
    </row>
    <row r="621" spans="1:25" hidden="1">
      <c r="A621" s="1003"/>
      <c r="B621" s="999"/>
    </row>
    <row r="622" spans="1:25" hidden="1">
      <c r="A622" s="1003"/>
      <c r="B622" s="1061" t="str">
        <f>ปร.4_1!C67</f>
        <v>4.1.2</v>
      </c>
      <c r="C622" s="1002" t="str">
        <f>ปร.4_1!D67</f>
        <v>งานกำแพง คสล. ปากท่อ</v>
      </c>
    </row>
    <row r="623" spans="1:25" hidden="1">
      <c r="A623" s="1003"/>
      <c r="B623" s="1061" t="str">
        <f>ปร.4_1!C68</f>
        <v>4.1.2(1)</v>
      </c>
      <c r="C623" s="1002" t="s">
        <v>1102</v>
      </c>
      <c r="E623" s="999" t="str">
        <f>ปร.4_1!G68</f>
        <v>1 แถว - Ø 0.40 เมตร</v>
      </c>
      <c r="O623" s="1604" t="s">
        <v>1097</v>
      </c>
      <c r="P623" s="1604"/>
      <c r="Q623" s="1604" t="s">
        <v>1101</v>
      </c>
      <c r="R623" s="1604" t="s">
        <v>848</v>
      </c>
      <c r="S623" s="1700" t="s">
        <v>260</v>
      </c>
      <c r="T623" s="1604" t="s">
        <v>5</v>
      </c>
      <c r="U623" s="1604"/>
      <c r="W623" s="1604" t="s">
        <v>1133</v>
      </c>
      <c r="X623" s="1604"/>
      <c r="Y623" s="1604" t="s">
        <v>1136</v>
      </c>
    </row>
    <row r="624" spans="1:25" hidden="1">
      <c r="A624" s="1003"/>
      <c r="B624" s="999"/>
      <c r="C624" s="1172" t="s">
        <v>846</v>
      </c>
      <c r="D624" s="1011"/>
      <c r="E624" s="1011"/>
      <c r="F624" s="1011"/>
      <c r="G624" s="1012"/>
      <c r="H624" s="1011"/>
      <c r="I624" s="1011"/>
      <c r="J624" s="1011"/>
      <c r="K624" s="1011"/>
      <c r="L624" s="675"/>
      <c r="O624" s="1604"/>
      <c r="P624" s="1604"/>
      <c r="Q624" s="1604"/>
      <c r="R624" s="1604"/>
      <c r="S624" s="1700"/>
      <c r="T624" s="1111" t="s">
        <v>1131</v>
      </c>
      <c r="U624" s="1111" t="s">
        <v>1132</v>
      </c>
      <c r="W624" s="1111" t="s">
        <v>1134</v>
      </c>
      <c r="X624" s="1111" t="s">
        <v>1135</v>
      </c>
      <c r="Y624" s="1604"/>
    </row>
    <row r="625" spans="1:25" hidden="1">
      <c r="A625" s="1003"/>
      <c r="B625" s="999"/>
      <c r="C625" s="1172" t="s">
        <v>458</v>
      </c>
      <c r="D625" s="888"/>
      <c r="E625" s="1012"/>
      <c r="F625" s="1097">
        <f>IF($E$623=0,0,VLOOKUP($E$623,$O$625:$U$629,3))</f>
        <v>0.62</v>
      </c>
      <c r="G625" s="888" t="s">
        <v>251</v>
      </c>
      <c r="H625" s="1097">
        <v>148</v>
      </c>
      <c r="I625" s="1016" t="s">
        <v>238</v>
      </c>
      <c r="J625" s="1016" t="s">
        <v>190</v>
      </c>
      <c r="K625" s="1012">
        <f>F625*H625</f>
        <v>91.76</v>
      </c>
      <c r="L625" s="675" t="s">
        <v>847</v>
      </c>
      <c r="O625" s="1173" t="s">
        <v>1098</v>
      </c>
      <c r="P625" s="1173"/>
      <c r="Q625" s="1156">
        <f>ROUNDDOWN(0.47*VLOOKUP(V625,$C$663:$N$670,4)/100,2)</f>
        <v>0.62</v>
      </c>
      <c r="R625" s="1156">
        <f>ROUNDDOWN((0.47*VLOOKUP(V625,$C$663:$N$670,4)/100)+(0.15*VLOOKUP(V625,$C$663:$N$670,4)/100*VLOOKUP(V625,$C$663:$N$670,5)/100)-(0.15*Y625),2)</f>
        <v>0.87</v>
      </c>
      <c r="S625" s="1156">
        <f>ROUNDDOWN(0.94+(2.65*VLOOKUP(V625,$C$663:$N$670,4)/100)+(0.3*VLOOKUP(V625,$C$663:$N$670,5)/100),2)</f>
        <v>4.8899999999999997</v>
      </c>
      <c r="T625" s="1174">
        <f>ROUNDDOWN((0.499*((INT((VLOOKUP(V625,$C$663:$N$670,4)/100)/0.25)+1)*(VLOOKUP(V625,$C$663:$N$670,5)/100)+(INT((VLOOKUP(V625,$C$663:$N$670,5)/100)/0.25)+1)*(VLOOKUP(V625,$C$663:$N$670,4)/100)))+(1.497*(VLOOKUP(V625,$C$663:$N$670,4)/100))+(2.6946*(INT((VLOOKUP(V625,$C$663:$N$670,4)/100)/0.25)+1)),3)</f>
        <v>27.305</v>
      </c>
      <c r="U625" s="1174">
        <f>ROUNDDOWN(9*0.888*(VLOOKUP(V625,$C$663:$N$670,4)/100+0.1),3)</f>
        <v>11.348000000000001</v>
      </c>
      <c r="V625" s="1139" t="s">
        <v>1083</v>
      </c>
      <c r="W625" s="1156">
        <v>0.92</v>
      </c>
      <c r="X625" s="1156">
        <v>0.4</v>
      </c>
      <c r="Y625" s="1111">
        <f>ROUNDDOWN((PI()*W625*X625)/4,2)</f>
        <v>0.28000000000000003</v>
      </c>
    </row>
    <row r="626" spans="1:25" hidden="1">
      <c r="A626" s="1003"/>
      <c r="B626" s="999"/>
      <c r="C626" s="1172" t="s">
        <v>848</v>
      </c>
      <c r="D626" s="1175"/>
      <c r="E626" s="1012"/>
      <c r="F626" s="1097">
        <f>IF($E$623=0,0,VLOOKUP($E$623,$O$625:$U$629,4))</f>
        <v>0.87</v>
      </c>
      <c r="G626" s="888" t="s">
        <v>251</v>
      </c>
      <c r="H626" s="1097">
        <f>M1206</f>
        <v>2164</v>
      </c>
      <c r="I626" s="1016" t="s">
        <v>238</v>
      </c>
      <c r="J626" s="1016" t="s">
        <v>190</v>
      </c>
      <c r="K626" s="1012">
        <f>H626*F626</f>
        <v>1882.68</v>
      </c>
      <c r="L626" s="675" t="s">
        <v>847</v>
      </c>
      <c r="O626" s="1173" t="s">
        <v>1099</v>
      </c>
      <c r="P626" s="1173"/>
      <c r="Q626" s="1156">
        <f>ROUNDDOWN(0.47*VLOOKUP(V626,$C$663:$N$670,4)/100,2)</f>
        <v>0.91</v>
      </c>
      <c r="R626" s="1156">
        <f>ROUNDDOWN((0.47*VLOOKUP(V626,$C$663:$N$670,4)/100)+(0.15*VLOOKUP(V626,$C$663:$N$670,4)/100*VLOOKUP(V626,$C$663:$N$670,5)/100)-(0.15*Y626),2)</f>
        <v>1.39</v>
      </c>
      <c r="S626" s="1156">
        <f>ROUNDDOWN(0.94+(2.65*VLOOKUP(V626,$C$663:$N$670,4)/100)+(0.3*VLOOKUP(V626,$C$663:$N$670,5)/100),2)</f>
        <v>6.69</v>
      </c>
      <c r="T626" s="1174">
        <f>ROUNDDOWN((0.499*((INT((VLOOKUP(V626,$C$663:$N$670,4)/100)/0.25)+1)*(VLOOKUP(V626,$C$663:$N$670,5)/100)+(INT((VLOOKUP(V626,$C$663:$N$670,5)/100)/0.25)+1)*(VLOOKUP(V626,$C$663:$N$670,4)/100)))+(1.497*(VLOOKUP(V626,$C$663:$N$670,4)/100))+(2.6946*(INT((VLOOKUP(V626,$C$663:$N$670,4)/100)/0.25)+1)),3)</f>
        <v>40.043999999999997</v>
      </c>
      <c r="U626" s="1174">
        <f>ROUNDDOWN(9*0.888*(VLOOKUP(V626,$C$663:$N$670,4)/100+0.1),3)</f>
        <v>16.382999999999999</v>
      </c>
      <c r="V626" s="1139" t="s">
        <v>1085</v>
      </c>
      <c r="W626" s="1156">
        <v>1.35</v>
      </c>
      <c r="X626" s="1156">
        <v>0.6</v>
      </c>
      <c r="Y626" s="1111">
        <f>ROUNDDOWN((PI()*W626*X626)/4,2)</f>
        <v>0.63</v>
      </c>
    </row>
    <row r="627" spans="1:25" hidden="1">
      <c r="A627" s="1003"/>
      <c r="B627" s="999"/>
      <c r="C627" s="1172" t="s">
        <v>260</v>
      </c>
      <c r="D627" s="1175"/>
      <c r="E627" s="1012"/>
      <c r="F627" s="1097">
        <f>IF($E$623=0,0,VLOOKUP($E$623,$O$625:$U$629,5))</f>
        <v>4.8899999999999997</v>
      </c>
      <c r="G627" s="888" t="s">
        <v>255</v>
      </c>
      <c r="H627" s="1097">
        <f>K1471</f>
        <v>227</v>
      </c>
      <c r="I627" s="1016" t="s">
        <v>238</v>
      </c>
      <c r="J627" s="1016" t="s">
        <v>190</v>
      </c>
      <c r="K627" s="1012">
        <f t="shared" ref="K627:K632" si="30">H627*F627</f>
        <v>1110.03</v>
      </c>
      <c r="L627" s="675" t="s">
        <v>847</v>
      </c>
      <c r="O627" s="1173" t="s">
        <v>1100</v>
      </c>
      <c r="P627" s="1173"/>
      <c r="Q627" s="1156">
        <f>ROUNDDOWN(0.47*VLOOKUP(V627,$C$663:$N$670,4)/100,2)</f>
        <v>1.21</v>
      </c>
      <c r="R627" s="1156">
        <f>ROUNDDOWN((0.47*VLOOKUP(V627,$C$663:$N$670,4)/100)+(0.15*VLOOKUP(V627,$C$663:$N$670,4)/100*VLOOKUP(V627,$C$663:$N$670,5)/100)-(0.15*Y627),2)</f>
        <v>1.97</v>
      </c>
      <c r="S627" s="1156">
        <f>ROUNDDOWN(0.94+(2.65*VLOOKUP(V627,$C$663:$N$670,4)/100)+(0.3*VLOOKUP(V627,$C$663:$N$670,5)/100),2)</f>
        <v>8.52</v>
      </c>
      <c r="T627" s="1174">
        <f>ROUNDDOWN((0.499*((INT((VLOOKUP(V627,$C$663:$N$670,4)/100)/0.25)+1)*(VLOOKUP(V627,$C$663:$N$670,5)/100)+(INT((VLOOKUP(V627,$C$663:$N$670,5)/100)/0.25)+1)*(VLOOKUP(V627,$C$663:$N$670,4)/100)))+(1.497*(VLOOKUP(V627,$C$663:$N$670,4)/100))+(2.6946*(INT((VLOOKUP(V627,$C$663:$N$670,4)/100)/0.25)+1)),3)</f>
        <v>59.56</v>
      </c>
      <c r="U627" s="1174">
        <f>ROUNDDOWN(9*0.888*(VLOOKUP(V627,$C$663:$N$670,4)/100+0.1),3)</f>
        <v>21.498000000000001</v>
      </c>
      <c r="V627" s="1139" t="s">
        <v>1086</v>
      </c>
      <c r="W627" s="1156">
        <v>1.79</v>
      </c>
      <c r="X627" s="1156">
        <v>0.8</v>
      </c>
      <c r="Y627" s="1111">
        <f>ROUNDDOWN((PI()*W627*X627)/4,2)</f>
        <v>1.1200000000000001</v>
      </c>
    </row>
    <row r="628" spans="1:25" hidden="1">
      <c r="A628" s="1003"/>
      <c r="B628" s="999"/>
      <c r="C628" s="1172" t="s">
        <v>5</v>
      </c>
      <c r="D628" s="1175"/>
      <c r="E628" s="1012"/>
      <c r="F628" s="1097"/>
      <c r="G628" s="888"/>
      <c r="H628" s="1097"/>
      <c r="I628" s="1016"/>
      <c r="J628" s="1016"/>
      <c r="K628" s="1012"/>
      <c r="L628" s="675"/>
      <c r="O628" s="1173" t="s">
        <v>1109</v>
      </c>
      <c r="P628" s="1176"/>
      <c r="Q628" s="1156">
        <f>ROUNDDOWN(0.47*VLOOKUP(V628,$C$663:$N$670,4)/100,2)</f>
        <v>1.51</v>
      </c>
      <c r="R628" s="1156">
        <f>ROUNDDOWN((0.47*VLOOKUP(V628,$C$663:$N$670,4)/100)+(0.15*VLOOKUP(V628,$C$663:$N$670,4)/100*VLOOKUP(V628,$C$663:$N$670,5)/100)-(0.15*Y628),2)</f>
        <v>2.61</v>
      </c>
      <c r="S628" s="1156">
        <f>ROUNDDOWN(0.94+(2.65*VLOOKUP(V628,$C$663:$N$670,4)/100)+(0.3*VLOOKUP(V628,$C$663:$N$670,5)/100),2)</f>
        <v>10.31</v>
      </c>
      <c r="T628" s="1174">
        <f>ROUNDDOWN((0.499*((INT((VLOOKUP(V628,$C$663:$N$670,4)/100)/0.25)+1)*(VLOOKUP(V628,$C$663:$N$670,5)/100)+(INT((VLOOKUP(V628,$C$663:$N$670,5)/100)/0.25)+1)*(VLOOKUP(V628,$C$663:$N$670,4)/100)))+(1.497*(VLOOKUP(V628,$C$663:$N$670,4)/100))+(2.6946*(INT((VLOOKUP(V628,$C$663:$N$670,4)/100)/0.25)+1)),3)</f>
        <v>77.424000000000007</v>
      </c>
      <c r="U628" s="1174">
        <f>ROUNDDOWN(9*0.888*(VLOOKUP(V628,$C$663:$N$670,4)/100+0.1),3)</f>
        <v>26.533000000000001</v>
      </c>
      <c r="V628" s="1139" t="s">
        <v>1087</v>
      </c>
      <c r="W628" s="1156">
        <v>2.2200000000000002</v>
      </c>
      <c r="X628" s="1156">
        <v>1</v>
      </c>
      <c r="Y628" s="1111">
        <f>ROUNDDOWN((PI()*W628*X628)/4,2)</f>
        <v>1.74</v>
      </c>
    </row>
    <row r="629" spans="1:25" hidden="1">
      <c r="A629" s="1003"/>
      <c r="B629" s="999"/>
      <c r="C629" s="1172" t="s">
        <v>256</v>
      </c>
      <c r="D629" s="1175"/>
      <c r="E629" s="1012"/>
      <c r="F629" s="1097">
        <f>IF($E$623=0,0,VLOOKUP($E$623,$O$625:$U$629,6))</f>
        <v>27.305</v>
      </c>
      <c r="G629" s="888" t="s">
        <v>242</v>
      </c>
      <c r="H629" s="1097">
        <f>J1322</f>
        <v>21.43</v>
      </c>
      <c r="I629" s="1016" t="s">
        <v>238</v>
      </c>
      <c r="J629" s="1016" t="s">
        <v>190</v>
      </c>
      <c r="K629" s="1012">
        <f t="shared" si="30"/>
        <v>585.14615000000003</v>
      </c>
      <c r="L629" s="675" t="s">
        <v>847</v>
      </c>
      <c r="O629" s="1173" t="s">
        <v>1110</v>
      </c>
      <c r="P629" s="1176"/>
      <c r="Q629" s="1156">
        <f>ROUNDDOWN(0.47*VLOOKUP(V629,$C$663:$N$670,4)/100,2)</f>
        <v>1.8</v>
      </c>
      <c r="R629" s="1156">
        <f>ROUNDDOWN((0.47*VLOOKUP(V629,$C$663:$N$670,4)/100)+(0.15*VLOOKUP(V629,$C$663:$N$670,4)/100*VLOOKUP(V629,$C$663:$N$670,5)/100)-(0.15*Y629),2)</f>
        <v>3.31</v>
      </c>
      <c r="S629" s="1156">
        <f>ROUNDDOWN(0.94+(2.65*VLOOKUP(V629,$C$663:$N$670,4)/100)+(0.3*VLOOKUP(V629,$C$663:$N$670,5)/100),2)</f>
        <v>12.11</v>
      </c>
      <c r="T629" s="1174">
        <f>ROUNDDOWN((0.499*((INT((VLOOKUP(V629,$C$663:$N$670,4)/100)/0.25)+1)*(VLOOKUP(V629,$C$663:$N$670,5)/100)+(INT((VLOOKUP(V629,$C$663:$N$670,5)/100)/0.25)+1)*(VLOOKUP(V629,$C$663:$N$670,4)/100)))+(1.497*(VLOOKUP(V629,$C$663:$N$670,4)/100))+(2.6946*(INT((VLOOKUP(V629,$C$663:$N$670,4)/100)/0.25)+1)),3)</f>
        <v>101.721</v>
      </c>
      <c r="U629" s="1174">
        <f>ROUNDDOWN(9*0.888*(VLOOKUP(V629,$C$663:$N$670,4)/100+0.1),3)</f>
        <v>31.568000000000001</v>
      </c>
      <c r="V629" s="1139" t="s">
        <v>1088</v>
      </c>
      <c r="W629" s="1156">
        <v>2.65</v>
      </c>
      <c r="X629" s="1156">
        <v>1.2</v>
      </c>
      <c r="Y629" s="1111">
        <f>ROUNDDOWN((PI()*W629*X629)/4,2)</f>
        <v>2.4900000000000002</v>
      </c>
    </row>
    <row r="630" spans="1:25" hidden="1">
      <c r="A630" s="1003"/>
      <c r="B630" s="999"/>
      <c r="C630" s="684" t="s">
        <v>849</v>
      </c>
      <c r="D630" s="1175"/>
      <c r="E630" s="1012"/>
      <c r="F630" s="1097">
        <f>IF($E$623=0,0,VLOOKUP($E$623,$O$625:$U$629,7))</f>
        <v>11.348000000000001</v>
      </c>
      <c r="G630" s="888" t="s">
        <v>242</v>
      </c>
      <c r="H630" s="1097">
        <f>J1362</f>
        <v>20.37</v>
      </c>
      <c r="I630" s="1016" t="s">
        <v>238</v>
      </c>
      <c r="J630" s="1016" t="s">
        <v>190</v>
      </c>
      <c r="K630" s="1012">
        <f t="shared" si="30"/>
        <v>231.15876000000003</v>
      </c>
      <c r="L630" s="675" t="s">
        <v>847</v>
      </c>
    </row>
    <row r="631" spans="1:25" hidden="1">
      <c r="A631" s="1003"/>
      <c r="B631" s="999"/>
      <c r="C631" s="1172" t="s">
        <v>8</v>
      </c>
      <c r="D631" s="1175"/>
      <c r="E631" s="1012"/>
      <c r="F631" s="1097">
        <f>SUM(F629:F630)</f>
        <v>38.652999999999999</v>
      </c>
      <c r="G631" s="888" t="s">
        <v>242</v>
      </c>
      <c r="H631" s="1097">
        <f>ROUNDDOWN(IF(F631=0,0,IF(F631/1000&gt;100,2807/1000,3401/1000)),2)</f>
        <v>3.4</v>
      </c>
      <c r="I631" s="1016" t="s">
        <v>238</v>
      </c>
      <c r="J631" s="1016" t="s">
        <v>190</v>
      </c>
      <c r="K631" s="1012">
        <f t="shared" si="30"/>
        <v>131.42019999999999</v>
      </c>
      <c r="L631" s="675" t="s">
        <v>847</v>
      </c>
    </row>
    <row r="632" spans="1:25" hidden="1">
      <c r="A632" s="1003"/>
      <c r="B632" s="999"/>
      <c r="C632" s="1172" t="s">
        <v>257</v>
      </c>
      <c r="D632" s="1175"/>
      <c r="E632" s="1012"/>
      <c r="F632" s="1097">
        <f>F631*0.025</f>
        <v>0.96632499999999999</v>
      </c>
      <c r="G632" s="888" t="s">
        <v>242</v>
      </c>
      <c r="H632" s="1097">
        <f>ข้อมูลแหล่งราคาวัสดุ!D54</f>
        <v>19.739999999999998</v>
      </c>
      <c r="I632" s="1016" t="s">
        <v>238</v>
      </c>
      <c r="J632" s="1016" t="s">
        <v>190</v>
      </c>
      <c r="K632" s="1012">
        <f t="shared" si="30"/>
        <v>19.075255499999997</v>
      </c>
      <c r="L632" s="675" t="s">
        <v>847</v>
      </c>
    </row>
    <row r="633" spans="1:25" ht="22.5" hidden="1" thickBot="1">
      <c r="A633" s="1003"/>
      <c r="B633" s="999"/>
      <c r="C633" s="682" t="s">
        <v>195</v>
      </c>
      <c r="D633" s="1011"/>
      <c r="E633" s="1011"/>
      <c r="F633" s="667"/>
      <c r="G633" s="1011"/>
      <c r="H633" s="1011"/>
      <c r="I633" s="807"/>
      <c r="J633" s="1016" t="s">
        <v>190</v>
      </c>
      <c r="K633" s="1177">
        <f>ROUNDDOWN(SUM(K625:K632),0)</f>
        <v>4051</v>
      </c>
      <c r="L633" s="675" t="s">
        <v>847</v>
      </c>
    </row>
    <row r="634" spans="1:25" ht="22.5" hidden="1" thickTop="1">
      <c r="A634" s="1003"/>
      <c r="B634" s="999"/>
    </row>
    <row r="635" spans="1:25" hidden="1">
      <c r="A635" s="1003"/>
      <c r="B635" s="999" t="str">
        <f>ปร.4_1!C69</f>
        <v>4.1.2(2)</v>
      </c>
      <c r="C635" s="1002" t="s">
        <v>1095</v>
      </c>
      <c r="O635" s="1604" t="s">
        <v>1097</v>
      </c>
      <c r="P635" s="1604"/>
      <c r="Q635" s="1604" t="s">
        <v>1101</v>
      </c>
      <c r="R635" s="1604" t="s">
        <v>848</v>
      </c>
      <c r="S635" s="1700" t="s">
        <v>260</v>
      </c>
      <c r="T635" s="1604" t="s">
        <v>5</v>
      </c>
      <c r="U635" s="1604"/>
      <c r="W635" s="1604" t="s">
        <v>1133</v>
      </c>
      <c r="X635" s="1604"/>
      <c r="Y635" s="1604" t="s">
        <v>1136</v>
      </c>
    </row>
    <row r="636" spans="1:25" hidden="1">
      <c r="A636" s="1003"/>
      <c r="B636" s="999"/>
      <c r="C636" s="1172" t="s">
        <v>846</v>
      </c>
      <c r="D636" s="1011"/>
      <c r="E636" s="1011"/>
      <c r="F636" s="1011"/>
      <c r="G636" s="1012"/>
      <c r="H636" s="1011"/>
      <c r="I636" s="1011"/>
      <c r="J636" s="1011"/>
      <c r="K636" s="1011"/>
      <c r="L636" s="675"/>
      <c r="O636" s="1604" t="s">
        <v>1097</v>
      </c>
      <c r="P636" s="1604"/>
      <c r="Q636" s="1604"/>
      <c r="R636" s="1604"/>
      <c r="S636" s="1700"/>
      <c r="T636" s="1111" t="s">
        <v>1131</v>
      </c>
      <c r="U636" s="1111" t="s">
        <v>1132</v>
      </c>
      <c r="W636" s="1111" t="s">
        <v>1134</v>
      </c>
      <c r="X636" s="1111" t="s">
        <v>1135</v>
      </c>
      <c r="Y636" s="1604"/>
    </row>
    <row r="637" spans="1:25" hidden="1">
      <c r="A637" s="1003"/>
      <c r="B637" s="999"/>
      <c r="C637" s="1172" t="s">
        <v>458</v>
      </c>
      <c r="D637" s="888"/>
      <c r="E637" s="1012"/>
      <c r="F637" s="1012">
        <v>0.9</v>
      </c>
      <c r="G637" s="888" t="s">
        <v>251</v>
      </c>
      <c r="H637" s="837">
        <v>148</v>
      </c>
      <c r="I637" s="1016" t="s">
        <v>238</v>
      </c>
      <c r="J637" s="1016" t="s">
        <v>190</v>
      </c>
      <c r="K637" s="1012">
        <f>F637*H637</f>
        <v>133.20000000000002</v>
      </c>
      <c r="L637" s="675" t="s">
        <v>847</v>
      </c>
      <c r="O637" s="1173" t="s">
        <v>1103</v>
      </c>
      <c r="P637" s="1173"/>
      <c r="Q637" s="1156">
        <f>ROUNDDOWN(0.47*VLOOKUP(V637,$C$663:$N$670,7)/100,2)</f>
        <v>0.95</v>
      </c>
      <c r="R637" s="1156">
        <f>ROUNDDOWN((0.47*VLOOKUP(V637,$C$663:$N$670,7)/100)+(0.15*VLOOKUP(V637,$C$663:$N$670,7)/100*VLOOKUP(V637,$C$663:$N$670,8)/100)-(0.15*Y637),2)</f>
        <v>1.33</v>
      </c>
      <c r="S637" s="1156">
        <f>ROUNDDOWN(0.94+(2.65*VLOOKUP(V637,$C$663:$N$670,7)/100)+(0.3*VLOOKUP(V637,$C$663:$N$670,8)/100),2)</f>
        <v>6.8</v>
      </c>
      <c r="T637" s="1174">
        <f>ROUNDDOWN((0.499*((INT((VLOOKUP(V637,$C$663:$N$670,7)/100)/0.25)+1)*(VLOOKUP(V637,$C$663:$N$670,8)/100)+(INT((VLOOKUP(V637,$C$663:$N$670,8)/100)/0.25)+1)*(VLOOKUP(V637,$C$663:$N$670,7)/100)))+(1.497*(VLOOKUP(V637,$C$663:$N$670,7)/100))+(2.6946*(INT((VLOOKUP(V637,$C$663:$N$670,7)/100)/0.25)+1)),3)</f>
        <v>41.256999999999998</v>
      </c>
      <c r="U637" s="1174">
        <f>ROUNDDOWN(9*0.888*(VLOOKUP(V637,$C$663:$N$670,7)/100+0.1),3)</f>
        <v>17.102</v>
      </c>
      <c r="V637" s="1139" t="s">
        <v>1083</v>
      </c>
      <c r="W637" s="1156">
        <v>0.92</v>
      </c>
      <c r="X637" s="1156">
        <v>0.4</v>
      </c>
      <c r="Y637" s="1111">
        <f>ROUNDDOWN(2*(PI()*W637*X637)/4,2)</f>
        <v>0.56999999999999995</v>
      </c>
    </row>
    <row r="638" spans="1:25" hidden="1">
      <c r="A638" s="1003"/>
      <c r="B638" s="999"/>
      <c r="C638" s="1172" t="s">
        <v>848</v>
      </c>
      <c r="D638" s="1175"/>
      <c r="E638" s="1012"/>
      <c r="F638" s="1012">
        <v>1.3</v>
      </c>
      <c r="G638" s="1178" t="s">
        <v>251</v>
      </c>
      <c r="H638" s="837">
        <f>M1206</f>
        <v>2164</v>
      </c>
      <c r="I638" s="1016" t="s">
        <v>238</v>
      </c>
      <c r="J638" s="1016" t="s">
        <v>190</v>
      </c>
      <c r="K638" s="1012">
        <f>H638*F638</f>
        <v>2813.2000000000003</v>
      </c>
      <c r="L638" s="675" t="s">
        <v>847</v>
      </c>
      <c r="O638" s="1173" t="s">
        <v>1104</v>
      </c>
      <c r="P638" s="1173"/>
      <c r="Q638" s="1156">
        <f>ROUNDDOWN(0.47*VLOOKUP(V638,$C$663:$N$670,7)/100,2)</f>
        <v>1.41</v>
      </c>
      <c r="R638" s="1156">
        <f>ROUNDDOWN((0.47*VLOOKUP(V638,$C$663:$N$670,7)/100)+(0.15*VLOOKUP(V638,$C$663:$N$670,7)/100*VLOOKUP(V638,$C$663:$N$670,8)/100)-(0.15*Y638),2)</f>
        <v>2.09</v>
      </c>
      <c r="S638" s="1156">
        <f>ROUNDDOWN(0.94+(2.65*VLOOKUP(V638,$C$663:$N$670,7)/100)+(0.3*VLOOKUP(V638,$C$663:$N$670,8)/100),2)</f>
        <v>9.4700000000000006</v>
      </c>
      <c r="T638" s="1174">
        <f>ROUNDDOWN((0.499*((INT((VLOOKUP(V638,$C$663:$N$670,7)/100)/0.25)+1)*(VLOOKUP(V638,$C$663:$N$670,8)/100)+(INT((VLOOKUP(V638,$C$663:$N$670,8)/100)/0.25)+1)*(VLOOKUP(V638,$C$663:$N$670,7)/100)))+(1.497*(VLOOKUP(V638,$C$663:$N$670,7)/100))+(2.6946*(INT((VLOOKUP(V638,$C$663:$N$670,7)/100)/0.25)+1)),3)</f>
        <v>64.146000000000001</v>
      </c>
      <c r="U638" s="1174">
        <f>ROUNDDOWN(9*0.888*(VLOOKUP(V638,$C$663:$N$670,7)/100+0.1),3)</f>
        <v>24.774999999999999</v>
      </c>
      <c r="V638" s="1139" t="s">
        <v>1085</v>
      </c>
      <c r="W638" s="1156">
        <v>1.35</v>
      </c>
      <c r="X638" s="1156">
        <v>0.6</v>
      </c>
      <c r="Y638" s="1111">
        <f>ROUNDDOWN(2*(PI()*W638*X638)/4,2)</f>
        <v>1.27</v>
      </c>
    </row>
    <row r="639" spans="1:25" hidden="1">
      <c r="A639" s="1003"/>
      <c r="B639" s="999"/>
      <c r="C639" s="1172" t="s">
        <v>260</v>
      </c>
      <c r="D639" s="1175"/>
      <c r="E639" s="1012"/>
      <c r="F639" s="1012">
        <v>7.05</v>
      </c>
      <c r="G639" s="1178" t="s">
        <v>255</v>
      </c>
      <c r="H639" s="837">
        <f>K1471</f>
        <v>227</v>
      </c>
      <c r="I639" s="1016" t="s">
        <v>238</v>
      </c>
      <c r="J639" s="1016" t="s">
        <v>190</v>
      </c>
      <c r="K639" s="1012">
        <f>H639*F639</f>
        <v>1600.35</v>
      </c>
      <c r="L639" s="675" t="s">
        <v>847</v>
      </c>
      <c r="O639" s="1173" t="s">
        <v>1105</v>
      </c>
      <c r="P639" s="1173"/>
      <c r="Q639" s="1156">
        <f>ROUNDDOWN(0.47*VLOOKUP(V639,$C$663:$N$670,7)/100,2)</f>
        <v>1.87</v>
      </c>
      <c r="R639" s="1156">
        <f>ROUNDDOWN((0.47*VLOOKUP(V639,$C$663:$N$670,7)/100)+(0.15*VLOOKUP(V639,$C$663:$N$670,7)/100*VLOOKUP(V639,$C$663:$N$670,8)/100)-(0.15*Y639),2)</f>
        <v>2.96</v>
      </c>
      <c r="S639" s="1156">
        <f>ROUNDDOWN(0.94+(2.65*VLOOKUP(V639,$C$663:$N$670,7)/100)+(0.3*VLOOKUP(V639,$C$663:$N$670,8)/100),2)</f>
        <v>12.2</v>
      </c>
      <c r="T639" s="1174">
        <f>ROUNDDOWN((0.499*((INT((VLOOKUP(V639,$C$663:$N$670,7)/100)/0.25)+1)*(VLOOKUP(V639,$C$663:$N$670,8)/100)+(INT((VLOOKUP(V639,$C$663:$N$670,8)/100)/0.25)+1)*(VLOOKUP(V639,$C$663:$N$670,7)/100)))+(1.497*(VLOOKUP(V639,$C$663:$N$670,7)/100))+(2.6946*(INT((VLOOKUP(V639,$C$663:$N$670,7)/100)/0.25)+1)),3)</f>
        <v>88.013000000000005</v>
      </c>
      <c r="U639" s="1174">
        <f>ROUNDDOWN(9*0.888*(VLOOKUP(V639,$C$663:$N$670,7)/100+0.1),3)</f>
        <v>32.606999999999999</v>
      </c>
      <c r="V639" s="1139" t="s">
        <v>1086</v>
      </c>
      <c r="W639" s="1156">
        <v>1.79</v>
      </c>
      <c r="X639" s="1156">
        <v>0.8</v>
      </c>
      <c r="Y639" s="1111">
        <f>ROUNDDOWN(2*(PI()*W639*X639)/4,2)</f>
        <v>2.2400000000000002</v>
      </c>
    </row>
    <row r="640" spans="1:25" hidden="1">
      <c r="A640" s="1003"/>
      <c r="B640" s="999"/>
      <c r="C640" s="1172" t="s">
        <v>5</v>
      </c>
      <c r="D640" s="1175"/>
      <c r="E640" s="1012"/>
      <c r="F640" s="1012"/>
      <c r="G640" s="1178"/>
      <c r="H640" s="837"/>
      <c r="I640" s="1016"/>
      <c r="J640" s="1016"/>
      <c r="K640" s="1012"/>
      <c r="L640" s="675"/>
      <c r="O640" s="1173" t="s">
        <v>1111</v>
      </c>
      <c r="P640" s="1176"/>
      <c r="Q640" s="1156">
        <f>ROUNDDOWN(0.47*VLOOKUP(V640,$C$663:$N$670,7)/100,2)</f>
        <v>2.3199999999999998</v>
      </c>
      <c r="R640" s="1156">
        <f>ROUNDDOWN((0.47*VLOOKUP(V640,$C$663:$N$670,7)/100)+(0.15*VLOOKUP(V640,$C$663:$N$670,7)/100*VLOOKUP(V640,$C$663:$N$670,8)/100)-(0.15*Y640),2)</f>
        <v>3.88</v>
      </c>
      <c r="S640" s="1156">
        <f>ROUNDDOWN(0.94+(2.65*VLOOKUP(V640,$C$663:$N$670,7)/100)+(0.3*VLOOKUP(V640,$C$663:$N$670,8)/100),2)</f>
        <v>14.87</v>
      </c>
      <c r="T640" s="1174">
        <f>ROUNDDOWN((0.499*((INT((VLOOKUP(V640,$C$663:$N$670,7)/100)/0.25)+1)*(VLOOKUP(V640,$C$663:$N$670,8)/100)+(INT((VLOOKUP(V640,$C$663:$N$670,8)/100)/0.25)+1)*(VLOOKUP(V640,$C$663:$N$670,7)/100)))+(1.497*(VLOOKUP(V640,$C$663:$N$670,7)/100))+(2.6946*(INT((VLOOKUP(V640,$C$663:$N$670,7)/100)/0.25)+1)),3)</f>
        <v>119.011</v>
      </c>
      <c r="U640" s="1174">
        <f>ROUNDDOWN(9*0.888*(VLOOKUP(V640,$C$663:$N$670,7)/100+0.1),3)</f>
        <v>40.279000000000003</v>
      </c>
      <c r="V640" s="1139" t="s">
        <v>1087</v>
      </c>
      <c r="W640" s="1156">
        <v>2.2200000000000002</v>
      </c>
      <c r="X640" s="1156">
        <v>1</v>
      </c>
      <c r="Y640" s="1111">
        <f>ROUNDDOWN(2*(PI()*W640*X640)/4,2)</f>
        <v>3.48</v>
      </c>
    </row>
    <row r="641" spans="1:25" hidden="1">
      <c r="A641" s="1003"/>
      <c r="B641" s="999"/>
      <c r="C641" s="1172" t="s">
        <v>256</v>
      </c>
      <c r="D641" s="1175"/>
      <c r="E641" s="1012"/>
      <c r="F641" s="1012">
        <v>35.18</v>
      </c>
      <c r="G641" s="1178" t="s">
        <v>242</v>
      </c>
      <c r="H641" s="837">
        <f>J1322</f>
        <v>21.43</v>
      </c>
      <c r="I641" s="1016" t="s">
        <v>238</v>
      </c>
      <c r="J641" s="1016" t="s">
        <v>190</v>
      </c>
      <c r="K641" s="1012">
        <f>H641*F641</f>
        <v>753.90739999999994</v>
      </c>
      <c r="L641" s="675" t="s">
        <v>847</v>
      </c>
      <c r="O641" s="1173" t="s">
        <v>1112</v>
      </c>
      <c r="P641" s="1176"/>
      <c r="Q641" s="1156">
        <f>ROUNDDOWN(0.47*VLOOKUP(V641,$C$663:$N$670,7)/100,2)</f>
        <v>2.77</v>
      </c>
      <c r="R641" s="1156">
        <f>ROUNDDOWN((0.47*VLOOKUP(V641,$C$663:$N$670,7)/100)+(0.15*VLOOKUP(V641,$C$663:$N$670,7)/100*VLOOKUP(V641,$C$663:$N$670,8)/100)-(0.15*Y641),2)</f>
        <v>4.9000000000000004</v>
      </c>
      <c r="S641" s="1156">
        <f>ROUNDDOWN(0.94+(2.65*VLOOKUP(V641,$C$663:$N$670,7)/100)+(0.3*VLOOKUP(V641,$C$663:$N$670,8)/100),2)</f>
        <v>17.55</v>
      </c>
      <c r="T641" s="1174">
        <f>ROUNDDOWN((0.499*((INT((VLOOKUP(V641,$C$663:$N$670,7)/100)/0.25)+1)*(VLOOKUP(V641,$C$663:$N$670,8)/100)+(INT((VLOOKUP(V641,$C$663:$N$670,8)/100)/0.25)+1)*(VLOOKUP(V641,$C$663:$N$670,7)/100)))+(1.497*(VLOOKUP(V641,$C$663:$N$670,7)/100))+(2.6946*(INT((VLOOKUP(V641,$C$663:$N$670,7)/100)/0.25)+1)),3)</f>
        <v>153.642</v>
      </c>
      <c r="U641" s="1174">
        <f>ROUNDDOWN(9*0.888*(VLOOKUP(V641,$C$663:$N$670,7)/100+0.1),3)</f>
        <v>47.951999999999998</v>
      </c>
      <c r="V641" s="1139" t="s">
        <v>1088</v>
      </c>
      <c r="W641" s="1156">
        <v>2.65</v>
      </c>
      <c r="X641" s="1156">
        <v>1.2</v>
      </c>
      <c r="Y641" s="1111">
        <f>ROUNDDOWN(2*(PI()*W641*X641)/4,2)</f>
        <v>4.99</v>
      </c>
    </row>
    <row r="642" spans="1:25" hidden="1">
      <c r="A642" s="1003"/>
      <c r="B642" s="999"/>
      <c r="C642" s="684" t="s">
        <v>849</v>
      </c>
      <c r="D642" s="1175"/>
      <c r="E642" s="1012"/>
      <c r="F642" s="1012">
        <v>17.97</v>
      </c>
      <c r="G642" s="1178" t="s">
        <v>242</v>
      </c>
      <c r="H642" s="837">
        <f>J1362</f>
        <v>20.37</v>
      </c>
      <c r="I642" s="1016" t="s">
        <v>238</v>
      </c>
      <c r="J642" s="1016" t="s">
        <v>190</v>
      </c>
      <c r="K642" s="1012">
        <f>H642*F642</f>
        <v>366.0489</v>
      </c>
      <c r="L642" s="675" t="s">
        <v>847</v>
      </c>
    </row>
    <row r="643" spans="1:25" hidden="1">
      <c r="A643" s="1003"/>
      <c r="B643" s="999"/>
      <c r="C643" s="1172" t="s">
        <v>8</v>
      </c>
      <c r="D643" s="1175"/>
      <c r="E643" s="1012"/>
      <c r="F643" s="1012">
        <f>SUM(F641:F642)</f>
        <v>53.15</v>
      </c>
      <c r="G643" s="1178" t="s">
        <v>242</v>
      </c>
      <c r="H643" s="1097">
        <f>ROUNDDOWN(IF(F643=0,0,IF(F643/1000&gt;100,2807/1000,3401/1000)),2)</f>
        <v>3.4</v>
      </c>
      <c r="I643" s="1016" t="s">
        <v>238</v>
      </c>
      <c r="J643" s="1016" t="s">
        <v>190</v>
      </c>
      <c r="K643" s="1012">
        <f>H643*F643</f>
        <v>180.70999999999998</v>
      </c>
      <c r="L643" s="675" t="s">
        <v>847</v>
      </c>
    </row>
    <row r="644" spans="1:25" hidden="1">
      <c r="A644" s="1003"/>
      <c r="B644" s="999"/>
      <c r="C644" s="1172" t="s">
        <v>257</v>
      </c>
      <c r="D644" s="1175"/>
      <c r="E644" s="1012"/>
      <c r="F644" s="1012">
        <f>F643*0.025</f>
        <v>1.3287500000000001</v>
      </c>
      <c r="G644" s="1178" t="s">
        <v>242</v>
      </c>
      <c r="H644" s="837">
        <f>ข้อมูลแหล่งราคาวัสดุ!D54</f>
        <v>19.739999999999998</v>
      </c>
      <c r="I644" s="1016" t="s">
        <v>238</v>
      </c>
      <c r="J644" s="1016" t="s">
        <v>190</v>
      </c>
      <c r="K644" s="1012">
        <f>H644*F644</f>
        <v>26.229524999999999</v>
      </c>
      <c r="L644" s="675" t="s">
        <v>847</v>
      </c>
    </row>
    <row r="645" spans="1:25" ht="22.5" hidden="1" thickBot="1">
      <c r="A645" s="1003"/>
      <c r="B645" s="999"/>
      <c r="C645" s="682" t="s">
        <v>195</v>
      </c>
      <c r="D645" s="1011"/>
      <c r="E645" s="1011"/>
      <c r="F645" s="667"/>
      <c r="G645" s="1011"/>
      <c r="H645" s="1011"/>
      <c r="I645" s="807"/>
      <c r="J645" s="1016" t="s">
        <v>190</v>
      </c>
      <c r="K645" s="1177">
        <f>ROUNDDOWN(SUM(K637:K644),0)</f>
        <v>5873</v>
      </c>
      <c r="L645" s="675" t="s">
        <v>847</v>
      </c>
    </row>
    <row r="646" spans="1:25" ht="22.5" hidden="1" thickTop="1">
      <c r="A646" s="1003"/>
      <c r="B646" s="999"/>
    </row>
    <row r="647" spans="1:25" hidden="1">
      <c r="A647" s="1003"/>
      <c r="B647" s="999" t="str">
        <f>ปร.4_1!C70</f>
        <v>4.1.2(3)</v>
      </c>
      <c r="C647" s="1002" t="s">
        <v>1096</v>
      </c>
      <c r="O647" s="1604" t="s">
        <v>1097</v>
      </c>
      <c r="P647" s="1604"/>
      <c r="Q647" s="1604" t="s">
        <v>1101</v>
      </c>
      <c r="R647" s="1604" t="s">
        <v>848</v>
      </c>
      <c r="S647" s="1700" t="s">
        <v>260</v>
      </c>
      <c r="T647" s="1604" t="s">
        <v>5</v>
      </c>
      <c r="U647" s="1604"/>
      <c r="W647" s="1604" t="s">
        <v>1133</v>
      </c>
      <c r="X647" s="1604"/>
      <c r="Y647" s="1604" t="s">
        <v>1136</v>
      </c>
    </row>
    <row r="648" spans="1:25" hidden="1">
      <c r="A648" s="1003"/>
      <c r="B648" s="999"/>
      <c r="C648" s="1172" t="s">
        <v>846</v>
      </c>
      <c r="D648" s="1011"/>
      <c r="E648" s="1011"/>
      <c r="F648" s="1011"/>
      <c r="G648" s="1012"/>
      <c r="H648" s="1011"/>
      <c r="I648" s="1011"/>
      <c r="J648" s="1011"/>
      <c r="K648" s="1011"/>
      <c r="L648" s="675"/>
      <c r="O648" s="1604" t="s">
        <v>1097</v>
      </c>
      <c r="P648" s="1604"/>
      <c r="Q648" s="1604"/>
      <c r="R648" s="1604"/>
      <c r="S648" s="1700"/>
      <c r="T648" s="1111" t="s">
        <v>1131</v>
      </c>
      <c r="U648" s="1111" t="s">
        <v>1132</v>
      </c>
      <c r="W648" s="1111" t="s">
        <v>1134</v>
      </c>
      <c r="X648" s="1111" t="s">
        <v>1135</v>
      </c>
      <c r="Y648" s="1604"/>
    </row>
    <row r="649" spans="1:25" hidden="1">
      <c r="A649" s="1003"/>
      <c r="B649" s="999"/>
      <c r="C649" s="1172" t="s">
        <v>458</v>
      </c>
      <c r="D649" s="888"/>
      <c r="E649" s="1012"/>
      <c r="F649" s="1012">
        <v>1.21</v>
      </c>
      <c r="G649" s="888" t="s">
        <v>251</v>
      </c>
      <c r="H649" s="837">
        <v>148</v>
      </c>
      <c r="I649" s="1016" t="s">
        <v>238</v>
      </c>
      <c r="J649" s="1016" t="s">
        <v>190</v>
      </c>
      <c r="K649" s="1012">
        <f>F649*H649</f>
        <v>179.07999999999998</v>
      </c>
      <c r="L649" s="675" t="s">
        <v>847</v>
      </c>
      <c r="O649" s="1173" t="s">
        <v>1106</v>
      </c>
      <c r="P649" s="1173"/>
      <c r="Q649" s="1156">
        <f>ROUNDDOWN(0.47*VLOOKUP(V649,$C$663:$N$670,10)/100,2)</f>
        <v>1.29</v>
      </c>
      <c r="R649" s="1156">
        <f>ROUNDDOWN((0.47*VLOOKUP(V649,$C$663:$N$670,10)/100)+(0.15*VLOOKUP(V649,$C$663:$N$670,10)/100*VLOOKUP(V649,$C$663:$N$670,12)/100)-(0.15*Y649),2)</f>
        <v>1.79</v>
      </c>
      <c r="S649" s="1156">
        <f>ROUNDDOWN(0.94+(2.65*VLOOKUP(V649,$C$663:$N$670,10)/100)+(0.3*VLOOKUP(V649,$C$663:$N$670,12)/100),2)</f>
        <v>8.7100000000000009</v>
      </c>
      <c r="T649" s="1174">
        <f>ROUNDDOWN((0.499*((INT((VLOOKUP(V649,$C$663:$N$670,10)/100)/0.25)+1)*(VLOOKUP(V649,$C$663:$N$670,12)/100)+(INT((VLOOKUP(V649,$C$663:$N$670,12)/100)/0.25)+1)*(VLOOKUP(V649,$C$663:$N$670,10)/100)))+(1.497*(VLOOKUP(V649,$C$663:$N$670,10)/100))+(2.6946*(INT((VLOOKUP(V649,$C$663:$N$670,10)/100)/0.25)+1)),3)</f>
        <v>55.209000000000003</v>
      </c>
      <c r="U649" s="1174">
        <f>ROUNDDOWN(9*0.888*(VLOOKUP(V649,$C$663:$N$670,10)/100+0.1),3)</f>
        <v>22.856999999999999</v>
      </c>
      <c r="V649" s="1139" t="s">
        <v>1083</v>
      </c>
      <c r="W649" s="1156">
        <v>0.92</v>
      </c>
      <c r="X649" s="1156">
        <v>0.4</v>
      </c>
      <c r="Y649" s="1111">
        <f>ROUNDDOWN(3*(PI()*W649*X649)/4,2)</f>
        <v>0.86</v>
      </c>
    </row>
    <row r="650" spans="1:25" hidden="1">
      <c r="A650" s="1003"/>
      <c r="B650" s="999"/>
      <c r="C650" s="1172" t="s">
        <v>848</v>
      </c>
      <c r="D650" s="1175"/>
      <c r="E650" s="1012"/>
      <c r="F650" s="1012">
        <v>1.75</v>
      </c>
      <c r="G650" s="1178" t="s">
        <v>251</v>
      </c>
      <c r="H650" s="837">
        <f>M1206</f>
        <v>2164</v>
      </c>
      <c r="I650" s="1016" t="s">
        <v>238</v>
      </c>
      <c r="J650" s="1016" t="s">
        <v>190</v>
      </c>
      <c r="K650" s="1012">
        <f>H650*F650</f>
        <v>3787</v>
      </c>
      <c r="L650" s="675" t="s">
        <v>847</v>
      </c>
      <c r="O650" s="1173" t="s">
        <v>1107</v>
      </c>
      <c r="P650" s="1173"/>
      <c r="Q650" s="1156">
        <f>ROUNDDOWN(0.47*VLOOKUP(V650,$C$663:$N$670,10)/100,2)</f>
        <v>1.9</v>
      </c>
      <c r="R650" s="1156">
        <f>ROUNDDOWN((0.47*VLOOKUP(V650,$C$663:$N$670,10)/100)+(0.15*VLOOKUP(V650,$C$663:$N$670,10)/100*VLOOKUP(V650,$C$663:$N$670,12)/100)-(0.15*Y650),2)</f>
        <v>2.8</v>
      </c>
      <c r="S650" s="1156">
        <f>ROUNDDOWN(0.94+(2.65*VLOOKUP(V650,$C$663:$N$670,10)/100)+(0.3*VLOOKUP(V650,$C$663:$N$670,12)/100),2)</f>
        <v>12.25</v>
      </c>
      <c r="T650" s="1174">
        <f>ROUNDDOWN((0.499*((INT((VLOOKUP(V650,$C$663:$N$670,10)/100)/0.25)+1)*(VLOOKUP(V650,$C$663:$N$670,12)/100)+(INT((VLOOKUP(V650,$C$663:$N$670,12)/100)/0.25)+1)*(VLOOKUP(V650,$C$663:$N$670,10)/100)))+(1.497*(VLOOKUP(V650,$C$663:$N$670,10)/100))+(2.6946*(INT((VLOOKUP(V650,$C$663:$N$670,10)/100)/0.25)+1)),3)</f>
        <v>84.58</v>
      </c>
      <c r="U650" s="1174">
        <f>ROUNDDOWN(9*0.888*(VLOOKUP(V650,$C$663:$N$670,10)/100+0.1),3)</f>
        <v>33.165999999999997</v>
      </c>
      <c r="V650" s="1139" t="s">
        <v>1085</v>
      </c>
      <c r="W650" s="1156">
        <v>1.35</v>
      </c>
      <c r="X650" s="1156">
        <v>0.6</v>
      </c>
      <c r="Y650" s="1111">
        <f>ROUNDDOWN(3*(PI()*W650*X650)/4,2)</f>
        <v>1.9</v>
      </c>
    </row>
    <row r="651" spans="1:25" hidden="1">
      <c r="A651" s="1003"/>
      <c r="B651" s="999"/>
      <c r="C651" s="1172" t="s">
        <v>260</v>
      </c>
      <c r="D651" s="1175"/>
      <c r="E651" s="1012"/>
      <c r="F651" s="1012">
        <v>9.2100000000000009</v>
      </c>
      <c r="G651" s="1178" t="s">
        <v>255</v>
      </c>
      <c r="H651" s="837">
        <f>K1471</f>
        <v>227</v>
      </c>
      <c r="I651" s="1016" t="s">
        <v>238</v>
      </c>
      <c r="J651" s="1016" t="s">
        <v>190</v>
      </c>
      <c r="K651" s="1012">
        <f>H651*F651</f>
        <v>2090.67</v>
      </c>
      <c r="L651" s="675" t="s">
        <v>847</v>
      </c>
      <c r="O651" s="1173" t="s">
        <v>1108</v>
      </c>
      <c r="P651" s="1173"/>
      <c r="Q651" s="1156">
        <f>ROUNDDOWN(0.47*VLOOKUP(V651,$C$663:$N$670,10)/100,2)</f>
        <v>2.52</v>
      </c>
      <c r="R651" s="1156">
        <f>ROUNDDOWN((0.47*VLOOKUP(V651,$C$663:$N$670,10)/100)+(0.15*VLOOKUP(V651,$C$663:$N$670,10)/100*VLOOKUP(V651,$C$663:$N$670,12)/100)-(0.15*Y651),2)</f>
        <v>3.94</v>
      </c>
      <c r="S651" s="1156">
        <f>ROUNDDOWN(0.94+(2.65*VLOOKUP(V651,$C$663:$N$670,10)/100)+(0.3*VLOOKUP(V651,$C$663:$N$670,12)/100),2)</f>
        <v>15.88</v>
      </c>
      <c r="T651" s="1174">
        <f>ROUNDDOWN((0.499*((INT((VLOOKUP(V651,$C$663:$N$670,10)/100)/0.25)+1)*(VLOOKUP(V651,$C$663:$N$670,12)/100)+(INT((VLOOKUP(V651,$C$663:$N$670,12)/100)/0.25)+1)*(VLOOKUP(V651,$C$663:$N$670,10)/100)))+(1.497*(VLOOKUP(V651,$C$663:$N$670,10)/100))+(2.6946*(INT((VLOOKUP(V651,$C$663:$N$670,10)/100)/0.25)+1)),3)</f>
        <v>120.35299999999999</v>
      </c>
      <c r="U651" s="1174">
        <f>ROUNDDOWN(9*0.888*(VLOOKUP(V651,$C$663:$N$670,10)/100+0.1),3)</f>
        <v>43.716000000000001</v>
      </c>
      <c r="V651" s="1139" t="s">
        <v>1086</v>
      </c>
      <c r="W651" s="1156">
        <v>1.79</v>
      </c>
      <c r="X651" s="1156">
        <v>0.8</v>
      </c>
      <c r="Y651" s="1111">
        <f>ROUNDDOWN(3*(PI()*W651*X651)/4,2)</f>
        <v>3.37</v>
      </c>
    </row>
    <row r="652" spans="1:25" hidden="1">
      <c r="A652" s="1003"/>
      <c r="B652" s="999"/>
      <c r="C652" s="1172" t="s">
        <v>5</v>
      </c>
      <c r="D652" s="1175"/>
      <c r="E652" s="1012"/>
      <c r="F652" s="1012"/>
      <c r="G652" s="1178"/>
      <c r="H652" s="837"/>
      <c r="I652" s="1016"/>
      <c r="J652" s="1016"/>
      <c r="K652" s="1012"/>
      <c r="L652" s="675"/>
      <c r="O652" s="1173" t="s">
        <v>1113</v>
      </c>
      <c r="P652" s="1176"/>
      <c r="Q652" s="1156">
        <f>ROUNDDOWN(0.47*VLOOKUP(V652,$C$663:$N$670,10)/100,2)</f>
        <v>3.13</v>
      </c>
      <c r="R652" s="1156">
        <f>ROUNDDOWN((0.47*VLOOKUP(V652,$C$663:$N$670,10)/100)+(0.15*VLOOKUP(V652,$C$663:$N$670,10)/100*VLOOKUP(V652,$C$663:$N$670,12)/100)-(0.15*Y652),2)</f>
        <v>5.16</v>
      </c>
      <c r="S652" s="1156">
        <f>ROUNDDOWN(0.94+(2.65*VLOOKUP(V652,$C$663:$N$670,10)/100)+(0.3*VLOOKUP(V652,$C$663:$N$670,12)/100),2)</f>
        <v>19.43</v>
      </c>
      <c r="T652" s="1174">
        <f>ROUNDDOWN((0.499*((INT((VLOOKUP(V652,$C$663:$N$670,10)/100)/0.25)+1)*(VLOOKUP(V652,$C$663:$N$670,12)/100)+(INT((VLOOKUP(V652,$C$663:$N$670,12)/100)/0.25)+1)*(VLOOKUP(V652,$C$663:$N$670,10)/100)))+(1.497*(VLOOKUP(V652,$C$663:$N$670,10)/100))+(2.6946*(INT((VLOOKUP(V652,$C$663:$N$670,10)/100)/0.25)+1)),3)</f>
        <v>160.59800000000001</v>
      </c>
      <c r="U652" s="1174">
        <f>ROUNDDOWN(9*0.888*(VLOOKUP(V652,$C$663:$N$670,10)/100+0.1),3)</f>
        <v>54.024999999999999</v>
      </c>
      <c r="V652" s="1139" t="s">
        <v>1087</v>
      </c>
      <c r="W652" s="1156">
        <v>2.2200000000000002</v>
      </c>
      <c r="X652" s="1156">
        <v>1</v>
      </c>
      <c r="Y652" s="1111">
        <f>ROUNDDOWN(3*(PI()*W652*X652)/4,2)</f>
        <v>5.23</v>
      </c>
    </row>
    <row r="653" spans="1:25" hidden="1">
      <c r="A653" s="1003"/>
      <c r="B653" s="999"/>
      <c r="C653" s="1172" t="s">
        <v>256</v>
      </c>
      <c r="D653" s="1175"/>
      <c r="E653" s="1012"/>
      <c r="F653" s="1012">
        <v>47.86</v>
      </c>
      <c r="G653" s="1178" t="s">
        <v>242</v>
      </c>
      <c r="H653" s="837">
        <f>J1322</f>
        <v>21.43</v>
      </c>
      <c r="I653" s="1016" t="s">
        <v>238</v>
      </c>
      <c r="J653" s="1016" t="s">
        <v>190</v>
      </c>
      <c r="K653" s="1012">
        <f>H653*F653</f>
        <v>1025.6397999999999</v>
      </c>
      <c r="L653" s="675" t="s">
        <v>847</v>
      </c>
      <c r="O653" s="1173" t="s">
        <v>1114</v>
      </c>
      <c r="P653" s="1176"/>
      <c r="Q653" s="1156">
        <f>ROUNDDOWN(0.47*VLOOKUP(V653,$C$663:$N$670,10)/100,2)</f>
        <v>3.73</v>
      </c>
      <c r="R653" s="1156">
        <f>ROUNDDOWN((0.47*VLOOKUP(V653,$C$663:$N$670,10)/100)+(0.15*VLOOKUP(V653,$C$663:$N$670,10)/100*VLOOKUP(V653,$C$663:$N$670,12)/100)-(0.15*Y653),2)</f>
        <v>6.48</v>
      </c>
      <c r="S653" s="1156">
        <f>ROUNDDOWN(0.94+(2.65*VLOOKUP(V653,$C$663:$N$670,10)/100)+(0.3*VLOOKUP(V653,$C$663:$N$670,12)/100),2)</f>
        <v>22.98</v>
      </c>
      <c r="T653" s="1174">
        <f>ROUNDDOWN((0.499*((INT((VLOOKUP(V653,$C$663:$N$670,10)/100)/0.25)+1)*(VLOOKUP(V653,$C$663:$N$670,12)/100)+(INT((VLOOKUP(V653,$C$663:$N$670,12)/100)/0.25)+1)*(VLOOKUP(V653,$C$663:$N$670,10)/100)))+(1.497*(VLOOKUP(V653,$C$663:$N$670,10)/100))+(2.6946*(INT((VLOOKUP(V653,$C$663:$N$670,10)/100)/0.25)+1)),3)</f>
        <v>205.56299999999999</v>
      </c>
      <c r="U653" s="1174">
        <f>ROUNDDOWN(9*0.888*(VLOOKUP(V653,$C$663:$N$670,10)/100+0.1),3)</f>
        <v>64.334999999999994</v>
      </c>
      <c r="V653" s="1139" t="s">
        <v>1088</v>
      </c>
      <c r="W653" s="1156">
        <v>2.65</v>
      </c>
      <c r="X653" s="1156">
        <v>1.2</v>
      </c>
      <c r="Y653" s="1111">
        <f>ROUNDDOWN(3*(PI()*W653*X653)/4,2)</f>
        <v>7.49</v>
      </c>
    </row>
    <row r="654" spans="1:25" hidden="1">
      <c r="A654" s="1003"/>
      <c r="B654" s="999"/>
      <c r="C654" s="684" t="s">
        <v>849</v>
      </c>
      <c r="D654" s="1175"/>
      <c r="E654" s="1012"/>
      <c r="F654" s="1012">
        <v>24.32</v>
      </c>
      <c r="G654" s="1178" t="s">
        <v>242</v>
      </c>
      <c r="H654" s="837">
        <f>J1362</f>
        <v>20.37</v>
      </c>
      <c r="I654" s="1016" t="s">
        <v>238</v>
      </c>
      <c r="J654" s="1016" t="s">
        <v>190</v>
      </c>
      <c r="K654" s="1012">
        <f>H654*F654</f>
        <v>495.39840000000004</v>
      </c>
      <c r="L654" s="675" t="s">
        <v>847</v>
      </c>
    </row>
    <row r="655" spans="1:25" hidden="1">
      <c r="A655" s="1003"/>
      <c r="B655" s="999"/>
      <c r="C655" s="1172" t="s">
        <v>8</v>
      </c>
      <c r="D655" s="1175"/>
      <c r="E655" s="1012"/>
      <c r="F655" s="1012">
        <f>SUM(F653:F654)</f>
        <v>72.180000000000007</v>
      </c>
      <c r="G655" s="1178" t="s">
        <v>242</v>
      </c>
      <c r="H655" s="1097">
        <f>ROUNDDOWN(IF(F655=0,0,IF(F655/1000&gt;100,2807/1000,3401/1000)),2)</f>
        <v>3.4</v>
      </c>
      <c r="I655" s="1016" t="s">
        <v>238</v>
      </c>
      <c r="J655" s="1016" t="s">
        <v>190</v>
      </c>
      <c r="K655" s="1012">
        <f>H655*F655</f>
        <v>245.41200000000001</v>
      </c>
      <c r="L655" s="675" t="s">
        <v>847</v>
      </c>
    </row>
    <row r="656" spans="1:25" hidden="1">
      <c r="A656" s="1003"/>
      <c r="B656" s="999"/>
      <c r="C656" s="1172" t="s">
        <v>257</v>
      </c>
      <c r="D656" s="1175"/>
      <c r="E656" s="1012"/>
      <c r="F656" s="1012">
        <f>F655*0.025</f>
        <v>1.8045000000000002</v>
      </c>
      <c r="G656" s="1178" t="s">
        <v>242</v>
      </c>
      <c r="H656" s="837">
        <f>ข้อมูลแหล่งราคาวัสดุ!D54</f>
        <v>19.739999999999998</v>
      </c>
      <c r="I656" s="1016" t="s">
        <v>238</v>
      </c>
      <c r="J656" s="1016" t="s">
        <v>190</v>
      </c>
      <c r="K656" s="1012">
        <f>H656*F656</f>
        <v>35.620829999999998</v>
      </c>
      <c r="L656" s="675" t="s">
        <v>847</v>
      </c>
    </row>
    <row r="657" spans="1:14" ht="22.5" hidden="1" thickBot="1">
      <c r="A657" s="1003"/>
      <c r="B657" s="999"/>
      <c r="C657" s="682" t="s">
        <v>195</v>
      </c>
      <c r="D657" s="1011"/>
      <c r="E657" s="1011"/>
      <c r="F657" s="667"/>
      <c r="G657" s="1011"/>
      <c r="H657" s="1011"/>
      <c r="I657" s="807"/>
      <c r="J657" s="1016" t="s">
        <v>190</v>
      </c>
      <c r="K657" s="1177">
        <f>ROUNDDOWN(SUM(K649:K656),0)</f>
        <v>7858</v>
      </c>
      <c r="L657" s="675" t="s">
        <v>847</v>
      </c>
    </row>
    <row r="658" spans="1:14" ht="22.5" hidden="1" thickTop="1">
      <c r="A658" s="1003"/>
      <c r="B658" s="999"/>
    </row>
    <row r="659" spans="1:14" ht="22.5" hidden="1" thickBot="1">
      <c r="A659" s="1003"/>
      <c r="B659" s="999"/>
      <c r="C659" s="999" t="s">
        <v>1115</v>
      </c>
    </row>
    <row r="660" spans="1:14" ht="22.5" hidden="1" thickBot="1">
      <c r="A660" s="1003"/>
      <c r="B660" s="999"/>
      <c r="C660" s="1605" t="s">
        <v>838</v>
      </c>
      <c r="D660" s="1605"/>
      <c r="E660" s="1605" t="s">
        <v>1117</v>
      </c>
      <c r="F660" s="1605"/>
      <c r="G660" s="1605"/>
      <c r="H660" s="1605" t="s">
        <v>1122</v>
      </c>
      <c r="I660" s="1605"/>
      <c r="J660" s="1605"/>
      <c r="K660" s="1605"/>
      <c r="L660" s="1605"/>
      <c r="M660" s="1605"/>
      <c r="N660" s="1605"/>
    </row>
    <row r="661" spans="1:14" ht="22.5" hidden="1" thickBot="1">
      <c r="A661" s="1003"/>
      <c r="B661" s="999"/>
      <c r="C661" s="1605" t="s">
        <v>1123</v>
      </c>
      <c r="D661" s="1606" t="s">
        <v>1116</v>
      </c>
      <c r="E661" s="1605" t="s">
        <v>1124</v>
      </c>
      <c r="F661" s="1605" t="s">
        <v>1118</v>
      </c>
      <c r="G661" s="1605" t="s">
        <v>1119</v>
      </c>
      <c r="H661" s="1605" t="s">
        <v>1124</v>
      </c>
      <c r="I661" s="1605" t="s">
        <v>1120</v>
      </c>
      <c r="J661" s="1605"/>
      <c r="K661" s="1605" t="s">
        <v>1124</v>
      </c>
      <c r="L661" s="1605" t="s">
        <v>1121</v>
      </c>
      <c r="M661" s="1605"/>
      <c r="N661" s="1605"/>
    </row>
    <row r="662" spans="1:14" ht="22.5" hidden="1" thickBot="1">
      <c r="A662" s="1003"/>
      <c r="B662" s="999"/>
      <c r="C662" s="1605"/>
      <c r="D662" s="1606"/>
      <c r="E662" s="1605"/>
      <c r="F662" s="1605"/>
      <c r="G662" s="1605"/>
      <c r="H662" s="1605"/>
      <c r="I662" s="1179" t="s">
        <v>1118</v>
      </c>
      <c r="J662" s="1179" t="s">
        <v>1119</v>
      </c>
      <c r="K662" s="1605"/>
      <c r="L662" s="1605" t="s">
        <v>1118</v>
      </c>
      <c r="M662" s="1605"/>
      <c r="N662" s="1179" t="s">
        <v>1119</v>
      </c>
    </row>
    <row r="663" spans="1:14" hidden="1">
      <c r="A663" s="1003"/>
      <c r="B663" s="999"/>
      <c r="C663" s="1180" t="s">
        <v>1082</v>
      </c>
      <c r="D663" s="1181">
        <v>5</v>
      </c>
      <c r="E663" s="1182">
        <v>30</v>
      </c>
      <c r="F663" s="1183">
        <v>100</v>
      </c>
      <c r="G663" s="1183">
        <v>130</v>
      </c>
      <c r="H663" s="1182">
        <v>30</v>
      </c>
      <c r="I663" s="1183">
        <v>155</v>
      </c>
      <c r="J663" s="1183">
        <v>130</v>
      </c>
      <c r="K663" s="1182">
        <v>30</v>
      </c>
      <c r="L663" s="1601">
        <v>210</v>
      </c>
      <c r="M663" s="1601"/>
      <c r="N663" s="1183">
        <v>130</v>
      </c>
    </row>
    <row r="664" spans="1:14" hidden="1">
      <c r="A664" s="1003"/>
      <c r="B664" s="999"/>
      <c r="C664" s="1184" t="s">
        <v>1083</v>
      </c>
      <c r="D664" s="1185">
        <v>6</v>
      </c>
      <c r="E664" s="1186">
        <v>30</v>
      </c>
      <c r="F664" s="1187">
        <v>132</v>
      </c>
      <c r="G664" s="1187">
        <v>152</v>
      </c>
      <c r="H664" s="1186">
        <v>30</v>
      </c>
      <c r="I664" s="1187">
        <v>204</v>
      </c>
      <c r="J664" s="1187">
        <v>152</v>
      </c>
      <c r="K664" s="1186">
        <v>30</v>
      </c>
      <c r="L664" s="1602">
        <v>276</v>
      </c>
      <c r="M664" s="1602"/>
      <c r="N664" s="1187">
        <v>152</v>
      </c>
    </row>
    <row r="665" spans="1:14" hidden="1">
      <c r="A665" s="1003"/>
      <c r="B665" s="999"/>
      <c r="C665" s="1184" t="s">
        <v>1084</v>
      </c>
      <c r="D665" s="1185">
        <v>7</v>
      </c>
      <c r="E665" s="1186">
        <v>30</v>
      </c>
      <c r="F665" s="1187">
        <v>164</v>
      </c>
      <c r="G665" s="1187">
        <v>174</v>
      </c>
      <c r="H665" s="1186">
        <v>30</v>
      </c>
      <c r="I665" s="1187">
        <v>253</v>
      </c>
      <c r="J665" s="1187">
        <v>174</v>
      </c>
      <c r="K665" s="1186">
        <v>30</v>
      </c>
      <c r="L665" s="1602">
        <v>342</v>
      </c>
      <c r="M665" s="1602"/>
      <c r="N665" s="1187">
        <v>174</v>
      </c>
    </row>
    <row r="666" spans="1:14" hidden="1">
      <c r="A666" s="1003"/>
      <c r="B666" s="999"/>
      <c r="C666" s="1184" t="s">
        <v>1085</v>
      </c>
      <c r="D666" s="1185">
        <v>7.5</v>
      </c>
      <c r="E666" s="1186">
        <v>30</v>
      </c>
      <c r="F666" s="1187">
        <v>195</v>
      </c>
      <c r="G666" s="1187">
        <v>195</v>
      </c>
      <c r="H666" s="1186">
        <v>30</v>
      </c>
      <c r="I666" s="1187">
        <v>300</v>
      </c>
      <c r="J666" s="1187">
        <v>195</v>
      </c>
      <c r="K666" s="1186">
        <v>30</v>
      </c>
      <c r="L666" s="1602">
        <v>405</v>
      </c>
      <c r="M666" s="1602"/>
      <c r="N666" s="1187">
        <v>195</v>
      </c>
    </row>
    <row r="667" spans="1:14" hidden="1">
      <c r="A667" s="1003"/>
      <c r="B667" s="999"/>
      <c r="C667" s="1184" t="s">
        <v>1086</v>
      </c>
      <c r="D667" s="1185">
        <v>9.5</v>
      </c>
      <c r="E667" s="1186">
        <v>30</v>
      </c>
      <c r="F667" s="1187">
        <v>259</v>
      </c>
      <c r="G667" s="1187">
        <v>239</v>
      </c>
      <c r="H667" s="1186">
        <v>30</v>
      </c>
      <c r="I667" s="1187">
        <v>398</v>
      </c>
      <c r="J667" s="1187">
        <v>239</v>
      </c>
      <c r="K667" s="1186">
        <v>30</v>
      </c>
      <c r="L667" s="1602">
        <v>537</v>
      </c>
      <c r="M667" s="1602"/>
      <c r="N667" s="1187">
        <v>239</v>
      </c>
    </row>
    <row r="668" spans="1:14" hidden="1">
      <c r="A668" s="1003"/>
      <c r="B668" s="999"/>
      <c r="C668" s="1184" t="s">
        <v>1087</v>
      </c>
      <c r="D668" s="1185">
        <v>11</v>
      </c>
      <c r="E668" s="1186">
        <v>30</v>
      </c>
      <c r="F668" s="1187">
        <v>322</v>
      </c>
      <c r="G668" s="1187">
        <v>282</v>
      </c>
      <c r="H668" s="1186">
        <v>30</v>
      </c>
      <c r="I668" s="1187">
        <v>494</v>
      </c>
      <c r="J668" s="1187">
        <v>282</v>
      </c>
      <c r="K668" s="1186">
        <v>30</v>
      </c>
      <c r="L668" s="1602">
        <v>666</v>
      </c>
      <c r="M668" s="1602"/>
      <c r="N668" s="1187">
        <v>282</v>
      </c>
    </row>
    <row r="669" spans="1:14" hidden="1">
      <c r="A669" s="1003"/>
      <c r="B669" s="999"/>
      <c r="C669" s="1184" t="s">
        <v>1088</v>
      </c>
      <c r="D669" s="1185">
        <v>12.5</v>
      </c>
      <c r="E669" s="1186">
        <v>30</v>
      </c>
      <c r="F669" s="1187">
        <v>385</v>
      </c>
      <c r="G669" s="1187">
        <v>325</v>
      </c>
      <c r="H669" s="1186">
        <v>30</v>
      </c>
      <c r="I669" s="1187">
        <v>590</v>
      </c>
      <c r="J669" s="1187">
        <v>325</v>
      </c>
      <c r="K669" s="1186">
        <v>30</v>
      </c>
      <c r="L669" s="1602">
        <v>795</v>
      </c>
      <c r="M669" s="1602"/>
      <c r="N669" s="1187">
        <v>325</v>
      </c>
    </row>
    <row r="670" spans="1:14" ht="22.5" hidden="1" thickBot="1">
      <c r="A670" s="1003"/>
      <c r="B670" s="999"/>
      <c r="C670" s="1188" t="s">
        <v>1089</v>
      </c>
      <c r="D670" s="1189">
        <v>15</v>
      </c>
      <c r="E670" s="1190">
        <v>30</v>
      </c>
      <c r="F670" s="1191">
        <v>480</v>
      </c>
      <c r="G670" s="1191">
        <v>390</v>
      </c>
      <c r="H670" s="1190">
        <v>30</v>
      </c>
      <c r="I670" s="1191">
        <v>735</v>
      </c>
      <c r="J670" s="1191">
        <v>390</v>
      </c>
      <c r="K670" s="1190">
        <v>30</v>
      </c>
      <c r="L670" s="1603">
        <v>990</v>
      </c>
      <c r="M670" s="1603"/>
      <c r="N670" s="1191">
        <v>390</v>
      </c>
    </row>
    <row r="671" spans="1:14" ht="24" hidden="1">
      <c r="A671" s="1003"/>
      <c r="B671" s="999"/>
      <c r="C671" s="1192" t="s">
        <v>3</v>
      </c>
      <c r="D671" s="1193" t="s">
        <v>1125</v>
      </c>
      <c r="E671" s="1194"/>
      <c r="F671" s="1194"/>
      <c r="G671" s="1195"/>
      <c r="H671" s="1194"/>
      <c r="I671" s="1194"/>
      <c r="J671" s="1194"/>
      <c r="K671" s="1194"/>
      <c r="L671" s="1196"/>
      <c r="M671" s="1196"/>
      <c r="N671" s="1197"/>
    </row>
    <row r="672" spans="1:14" ht="22.5" hidden="1" thickBot="1">
      <c r="A672" s="1003"/>
      <c r="B672" s="999"/>
      <c r="C672" s="1198"/>
      <c r="D672" s="1199"/>
      <c r="E672" s="1200"/>
      <c r="F672" s="1200"/>
      <c r="G672" s="1201"/>
      <c r="H672" s="1200"/>
      <c r="I672" s="1200"/>
      <c r="J672" s="1200"/>
      <c r="K672" s="1200"/>
      <c r="L672" s="1202"/>
      <c r="M672" s="1202"/>
      <c r="N672" s="1203"/>
    </row>
    <row r="673" spans="1:19" hidden="1">
      <c r="A673" s="1003"/>
      <c r="B673" s="999"/>
    </row>
    <row r="674" spans="1:19" hidden="1">
      <c r="A674" s="1003"/>
      <c r="B674" s="999"/>
    </row>
    <row r="675" spans="1:19" hidden="1">
      <c r="A675" s="1003"/>
      <c r="B675" s="1061" t="str">
        <f>ปร.4_1!C71</f>
        <v>4.1.3</v>
      </c>
      <c r="C675" s="1002" t="str">
        <f>ปร.4_1!D71</f>
        <v>รางระบายน้ำ คสล.</v>
      </c>
    </row>
    <row r="676" spans="1:19" hidden="1">
      <c r="A676" s="1003"/>
      <c r="B676" s="1061" t="str">
        <f>ปร.4_1!C72</f>
        <v>4.1.3(1)</v>
      </c>
      <c r="C676" s="1002" t="str">
        <f>ปร.4_1!D72</f>
        <v xml:space="preserve"> - แบบตัววี แบบ รน-303/56</v>
      </c>
      <c r="E676" s="997" t="s">
        <v>2009</v>
      </c>
    </row>
    <row r="677" spans="1:19" hidden="1">
      <c r="A677" s="1003"/>
      <c r="B677" s="1061"/>
      <c r="C677" s="1172" t="s">
        <v>259</v>
      </c>
      <c r="D677" s="1011"/>
      <c r="E677" s="1011"/>
      <c r="F677" s="837">
        <v>10</v>
      </c>
      <c r="G677" s="1016" t="s">
        <v>17</v>
      </c>
      <c r="H677" s="1011"/>
      <c r="I677" s="1016"/>
      <c r="J677" s="1016"/>
      <c r="K677" s="1012"/>
      <c r="M677" s="684" t="s">
        <v>193</v>
      </c>
    </row>
    <row r="678" spans="1:19" hidden="1">
      <c r="A678" s="1003"/>
      <c r="B678" s="1061"/>
      <c r="C678" s="1172" t="s">
        <v>253</v>
      </c>
      <c r="D678" s="1011"/>
      <c r="E678" s="1011"/>
      <c r="F678" s="837">
        <v>1.63</v>
      </c>
      <c r="G678" s="1204" t="s">
        <v>251</v>
      </c>
      <c r="H678" s="1011">
        <f>M1216</f>
        <v>2262</v>
      </c>
      <c r="I678" s="1016" t="s">
        <v>238</v>
      </c>
      <c r="J678" s="1016" t="s">
        <v>190</v>
      </c>
      <c r="K678" s="1012">
        <f>H678*F678</f>
        <v>3687.06</v>
      </c>
      <c r="L678" s="1040" t="s">
        <v>238</v>
      </c>
      <c r="M678" s="684" t="s">
        <v>234</v>
      </c>
      <c r="P678" s="978">
        <f>(1.12*10*0.07)+(0.71*10*0.07)+(0.5*10*0.07)</f>
        <v>1.6310000000000002</v>
      </c>
    </row>
    <row r="679" spans="1:19" hidden="1">
      <c r="A679" s="1003"/>
      <c r="B679" s="1061"/>
      <c r="C679" s="1172" t="s">
        <v>260</v>
      </c>
      <c r="D679" s="1011"/>
      <c r="E679" s="1011"/>
      <c r="F679" s="837">
        <v>3.13</v>
      </c>
      <c r="G679" s="1204" t="s">
        <v>255</v>
      </c>
      <c r="H679" s="1011">
        <f>K1471</f>
        <v>227</v>
      </c>
      <c r="I679" s="1016" t="s">
        <v>238</v>
      </c>
      <c r="J679" s="1016" t="s">
        <v>190</v>
      </c>
      <c r="K679" s="1012">
        <f>H679*F679</f>
        <v>710.51</v>
      </c>
      <c r="L679" s="1040" t="s">
        <v>238</v>
      </c>
      <c r="M679" s="684" t="s">
        <v>239</v>
      </c>
      <c r="P679" s="978">
        <f>((0.71+0.5+1.12)*0.07*2)+(10*0.07*2*2)</f>
        <v>3.1262000000000003</v>
      </c>
    </row>
    <row r="680" spans="1:19" hidden="1">
      <c r="A680" s="1003"/>
      <c r="B680" s="1061"/>
      <c r="C680" s="1172" t="s">
        <v>5</v>
      </c>
      <c r="D680" s="1011"/>
      <c r="E680" s="1011"/>
      <c r="F680" s="837"/>
      <c r="G680" s="1204"/>
      <c r="H680" s="1011"/>
      <c r="I680" s="1016"/>
      <c r="J680" s="1016"/>
      <c r="K680" s="1012"/>
      <c r="L680" s="1040"/>
      <c r="M680" s="684"/>
    </row>
    <row r="681" spans="1:19" hidden="1">
      <c r="A681" s="1003"/>
      <c r="B681" s="1061"/>
      <c r="C681" s="1172" t="s">
        <v>261</v>
      </c>
      <c r="D681" s="1011"/>
      <c r="E681" s="1011"/>
      <c r="F681" s="837">
        <v>60.22</v>
      </c>
      <c r="G681" s="1204" t="s">
        <v>242</v>
      </c>
      <c r="H681" s="1011">
        <f>J1314</f>
        <v>22.41</v>
      </c>
      <c r="I681" s="1016" t="s">
        <v>238</v>
      </c>
      <c r="J681" s="1016" t="s">
        <v>190</v>
      </c>
      <c r="K681" s="1012">
        <f t="shared" ref="K681:K686" si="31">H681*F681</f>
        <v>1349.5301999999999</v>
      </c>
      <c r="L681" s="1040" t="s">
        <v>238</v>
      </c>
      <c r="M681" s="684" t="s">
        <v>244</v>
      </c>
      <c r="P681" s="978">
        <f>ROUND((1.12+0.5+0.71)/0.2,0)+1</f>
        <v>13</v>
      </c>
      <c r="Q681" s="976">
        <f>P681*10*0.22*1.1</f>
        <v>31.460000000000004</v>
      </c>
      <c r="R681" s="978">
        <f>ROUND(10/0.2,0)+1</f>
        <v>51</v>
      </c>
      <c r="S681" s="978">
        <f>R681*(1.12+0.5+0.71)*0.22*1.1</f>
        <v>28.75686</v>
      </c>
    </row>
    <row r="682" spans="1:19" hidden="1">
      <c r="A682" s="1003"/>
      <c r="B682" s="1061"/>
      <c r="C682" s="1172" t="s">
        <v>8</v>
      </c>
      <c r="D682" s="1011"/>
      <c r="E682" s="1011"/>
      <c r="F682" s="837">
        <f>F681</f>
        <v>60.22</v>
      </c>
      <c r="G682" s="1205" t="s">
        <v>242</v>
      </c>
      <c r="H682" s="1011">
        <f>ROUNDDOWN(IF(F682=0,0,IF(F682/1000&gt;100,2900/1000,3300/1000)),2)</f>
        <v>3.3</v>
      </c>
      <c r="I682" s="1016" t="s">
        <v>238</v>
      </c>
      <c r="J682" s="1016" t="s">
        <v>190</v>
      </c>
      <c r="K682" s="1012">
        <f t="shared" si="31"/>
        <v>198.726</v>
      </c>
      <c r="L682" s="1040" t="s">
        <v>238</v>
      </c>
      <c r="M682" s="684" t="s">
        <v>518</v>
      </c>
      <c r="S682" s="978">
        <f>Q681+S681</f>
        <v>60.216860000000004</v>
      </c>
    </row>
    <row r="683" spans="1:19" hidden="1">
      <c r="A683" s="1003"/>
      <c r="B683" s="1061"/>
      <c r="C683" s="1172" t="s">
        <v>257</v>
      </c>
      <c r="D683" s="1011"/>
      <c r="E683" s="1011"/>
      <c r="F683" s="837">
        <f>F682*0.025</f>
        <v>1.5055000000000001</v>
      </c>
      <c r="G683" s="1204" t="s">
        <v>242</v>
      </c>
      <c r="H683" s="1011">
        <f>ข้อมูลแหล่งราคาวัสดุ!D54</f>
        <v>19.739999999999998</v>
      </c>
      <c r="I683" s="1016" t="s">
        <v>238</v>
      </c>
      <c r="J683" s="1016" t="s">
        <v>190</v>
      </c>
      <c r="K683" s="1012">
        <f t="shared" si="31"/>
        <v>29.71857</v>
      </c>
      <c r="L683" s="1040" t="s">
        <v>238</v>
      </c>
      <c r="M683" s="684" t="s">
        <v>249</v>
      </c>
    </row>
    <row r="684" spans="1:19" hidden="1">
      <c r="A684" s="1003"/>
      <c r="B684" s="1061"/>
      <c r="C684" s="1172" t="s">
        <v>1854</v>
      </c>
      <c r="D684" s="1011"/>
      <c r="E684" s="1011"/>
      <c r="F684" s="837">
        <v>4</v>
      </c>
      <c r="G684" s="1204" t="s">
        <v>513</v>
      </c>
      <c r="H684" s="1206">
        <f>P684</f>
        <v>11.479999999999999</v>
      </c>
      <c r="I684" s="1016" t="s">
        <v>238</v>
      </c>
      <c r="J684" s="1016" t="s">
        <v>190</v>
      </c>
      <c r="K684" s="1012">
        <f t="shared" si="31"/>
        <v>45.919999999999995</v>
      </c>
      <c r="L684" s="1040" t="s">
        <v>238</v>
      </c>
      <c r="M684" s="684" t="s">
        <v>246</v>
      </c>
      <c r="P684" s="978">
        <f>16.4*0.7</f>
        <v>11.479999999999999</v>
      </c>
    </row>
    <row r="685" spans="1:19" hidden="1">
      <c r="A685" s="1003"/>
      <c r="B685" s="1061"/>
      <c r="C685" s="1172" t="s">
        <v>1855</v>
      </c>
      <c r="D685" s="1011"/>
      <c r="E685" s="1011"/>
      <c r="F685" s="837">
        <v>4</v>
      </c>
      <c r="G685" s="1204" t="s">
        <v>513</v>
      </c>
      <c r="H685" s="1206">
        <f>P685</f>
        <v>5.7399999999999993</v>
      </c>
      <c r="I685" s="1016" t="s">
        <v>238</v>
      </c>
      <c r="J685" s="1016" t="s">
        <v>190</v>
      </c>
      <c r="K685" s="1012">
        <f t="shared" si="31"/>
        <v>22.959999999999997</v>
      </c>
      <c r="L685" s="1040" t="s">
        <v>238</v>
      </c>
      <c r="M685" s="684" t="s">
        <v>247</v>
      </c>
      <c r="P685" s="978">
        <f>16.4*0.35</f>
        <v>5.7399999999999993</v>
      </c>
    </row>
    <row r="686" spans="1:19" hidden="1">
      <c r="A686" s="1003"/>
      <c r="B686" s="1061"/>
      <c r="C686" s="1172" t="s">
        <v>1856</v>
      </c>
      <c r="D686" s="1011"/>
      <c r="E686" s="1011"/>
      <c r="F686" s="837">
        <v>0.32</v>
      </c>
      <c r="G686" s="1204" t="s">
        <v>251</v>
      </c>
      <c r="H686" s="1011">
        <f>J1178</f>
        <v>443.44</v>
      </c>
      <c r="I686" s="1016" t="s">
        <v>238</v>
      </c>
      <c r="J686" s="1016" t="s">
        <v>190</v>
      </c>
      <c r="K686" s="1012">
        <f t="shared" si="31"/>
        <v>141.9008</v>
      </c>
      <c r="L686" s="1040" t="s">
        <v>238</v>
      </c>
      <c r="M686" s="684" t="s">
        <v>262</v>
      </c>
      <c r="P686" s="978">
        <f>(0.5*0.3*0.6*0.6*4)+(0.5*0.3*0.3*0.6*4)</f>
        <v>0.32400000000000001</v>
      </c>
    </row>
    <row r="687" spans="1:19" hidden="1">
      <c r="A687" s="1003"/>
      <c r="B687" s="1061"/>
      <c r="C687" s="682" t="s">
        <v>195</v>
      </c>
      <c r="D687" s="1011"/>
      <c r="E687" s="1011"/>
      <c r="F687" s="837"/>
      <c r="G687" s="1011"/>
      <c r="H687" s="1011"/>
      <c r="I687" s="667"/>
      <c r="J687" s="1016" t="s">
        <v>190</v>
      </c>
      <c r="K687" s="1012">
        <f>SUM(K678:K686)</f>
        <v>6186.32557</v>
      </c>
      <c r="L687" s="1040" t="s">
        <v>238</v>
      </c>
      <c r="M687" s="684" t="s">
        <v>263</v>
      </c>
    </row>
    <row r="688" spans="1:19" hidden="1">
      <c r="A688" s="1003"/>
      <c r="B688" s="1061"/>
      <c r="C688" s="682" t="s">
        <v>264</v>
      </c>
      <c r="D688" s="1011"/>
      <c r="E688" s="1011"/>
      <c r="F688" s="837">
        <f>K687</f>
        <v>6186.32557</v>
      </c>
      <c r="G688" s="738" t="s">
        <v>241</v>
      </c>
      <c r="H688" s="1011">
        <f>F677</f>
        <v>10</v>
      </c>
      <c r="I688" s="1016" t="s">
        <v>238</v>
      </c>
      <c r="J688" s="1016" t="s">
        <v>190</v>
      </c>
      <c r="K688" s="1012">
        <f>F688/H688</f>
        <v>618.63255700000002</v>
      </c>
      <c r="L688" s="1040" t="s">
        <v>238</v>
      </c>
      <c r="M688" s="684" t="s">
        <v>265</v>
      </c>
    </row>
    <row r="689" spans="1:73" hidden="1">
      <c r="A689" s="1003"/>
      <c r="B689" s="1061"/>
      <c r="C689" s="682" t="s">
        <v>266</v>
      </c>
      <c r="D689" s="1011"/>
      <c r="E689" s="1011"/>
      <c r="F689" s="667"/>
      <c r="G689" s="1011"/>
      <c r="H689" s="1011"/>
      <c r="I689" s="667"/>
      <c r="J689" s="1016" t="s">
        <v>190</v>
      </c>
      <c r="K689" s="997">
        <f>ROUND(K688,0)</f>
        <v>619</v>
      </c>
      <c r="L689" s="1040" t="s">
        <v>238</v>
      </c>
      <c r="M689" s="684" t="s">
        <v>855</v>
      </c>
    </row>
    <row r="690" spans="1:73" hidden="1">
      <c r="A690" s="1003"/>
      <c r="B690" s="1061"/>
      <c r="C690" s="1002"/>
    </row>
    <row r="691" spans="1:73" hidden="1">
      <c r="A691" s="1003"/>
      <c r="B691" s="1061" t="str">
        <f>ปร.4_1!C73</f>
        <v>4.1.3(2)</v>
      </c>
      <c r="C691" s="1002" t="str">
        <f>ปร.4_1!D73</f>
        <v xml:space="preserve"> - แบบตัวยูพร้อมฝาปิด (แบบเลขที่ รน-301/56) ชนิด</v>
      </c>
      <c r="H691" s="1207" t="str">
        <f>ปร.4_1!H73</f>
        <v>ค-50</v>
      </c>
      <c r="O691" s="1034"/>
      <c r="P691" s="1208" t="s">
        <v>1678</v>
      </c>
      <c r="Q691" s="1001" t="str">
        <f>IF(O693="none"," - ",VLOOKUP(O693,O695:AS702,2))</f>
        <v>ค-50</v>
      </c>
      <c r="S691" s="1209" t="s">
        <v>1677</v>
      </c>
      <c r="T691" s="1210" t="str">
        <f>IF(O693="none"," - ",FIXED(VLOOKUP(O693,O695:AS702,3)/100,2)&amp;" x "&amp;FIXED(VLOOKUP(O693,O695:AS702,4)/100,2))</f>
        <v>0.50 x 0.70</v>
      </c>
      <c r="U691" s="1034" t="s">
        <v>1689</v>
      </c>
      <c r="V691" s="1209"/>
      <c r="W691" s="1210">
        <f>F692</f>
        <v>10</v>
      </c>
      <c r="X691" s="1034" t="s">
        <v>17</v>
      </c>
    </row>
    <row r="692" spans="1:73" hidden="1">
      <c r="A692" s="1003"/>
      <c r="B692" s="999"/>
      <c r="C692" s="1172" t="s">
        <v>508</v>
      </c>
      <c r="D692" s="1011"/>
      <c r="E692" s="1011"/>
      <c r="F692" s="1012">
        <v>10</v>
      </c>
      <c r="G692" s="1016" t="s">
        <v>17</v>
      </c>
      <c r="H692" s="1011"/>
      <c r="I692" s="667"/>
      <c r="J692" s="1011"/>
      <c r="K692" s="1012"/>
      <c r="L692" s="807"/>
      <c r="M692" s="976" t="s">
        <v>193</v>
      </c>
      <c r="P692" s="1701" t="s">
        <v>1662</v>
      </c>
      <c r="Q692" s="1099" t="s">
        <v>1664</v>
      </c>
      <c r="R692" s="1099" t="s">
        <v>1665</v>
      </c>
      <c r="S692" s="1113" t="s">
        <v>1663</v>
      </c>
      <c r="T692" s="1099" t="s">
        <v>1666</v>
      </c>
      <c r="U692" s="1211" t="s">
        <v>1674</v>
      </c>
      <c r="V692" s="1702" t="s">
        <v>5</v>
      </c>
      <c r="W692" s="1703"/>
      <c r="X692" s="1703"/>
      <c r="Y692" s="1703"/>
      <c r="Z692" s="1703"/>
      <c r="AA692" s="1703"/>
      <c r="AB692" s="1703"/>
      <c r="AC692" s="1703"/>
      <c r="AD692" s="1703"/>
      <c r="AE692" s="1703"/>
      <c r="AF692" s="1703"/>
      <c r="AG692" s="1703"/>
      <c r="AH692" s="1703"/>
      <c r="AI692" s="1703"/>
      <c r="AJ692" s="1703"/>
      <c r="AK692" s="1703"/>
      <c r="AL692" s="1703"/>
      <c r="AM692" s="1703"/>
      <c r="AN692" s="1703"/>
      <c r="AO692" s="1703"/>
      <c r="AP692" s="1703"/>
      <c r="AQ692" s="1703"/>
      <c r="AR692" s="1703"/>
      <c r="AS692" s="1703"/>
      <c r="AT692" s="1703"/>
      <c r="AU692" s="1703"/>
      <c r="AV692" s="1703"/>
      <c r="AW692" s="1703"/>
      <c r="AX692" s="1703"/>
      <c r="AY692" s="1704"/>
      <c r="AZ692" s="1212" t="s">
        <v>1197</v>
      </c>
      <c r="BA692" s="1212" t="s">
        <v>1197</v>
      </c>
      <c r="BB692" s="1212" t="s">
        <v>602</v>
      </c>
      <c r="BC692" s="1212" t="s">
        <v>602</v>
      </c>
      <c r="BE692" s="1604" t="s">
        <v>1683</v>
      </c>
      <c r="BF692" s="1604"/>
      <c r="BG692" s="1604"/>
    </row>
    <row r="693" spans="1:73" hidden="1">
      <c r="A693" s="1003"/>
      <c r="B693" s="999"/>
      <c r="C693" s="1213" t="s">
        <v>1535</v>
      </c>
      <c r="D693" s="1011"/>
      <c r="E693" s="1011"/>
      <c r="F693" s="1012">
        <f>ROUNDDOWN(((50+S703+Q703+S703+50)/100)*((T703+R703+Q703+0.05+0.1)/100)*F692,2)</f>
        <v>23.51</v>
      </c>
      <c r="G693" s="888" t="s">
        <v>251</v>
      </c>
      <c r="H693" s="1011">
        <f>IF(F693=0,0,21.51)</f>
        <v>21.51</v>
      </c>
      <c r="I693" s="1016" t="s">
        <v>238</v>
      </c>
      <c r="J693" s="1016" t="s">
        <v>190</v>
      </c>
      <c r="K693" s="1012">
        <f>F693*H693</f>
        <v>505.70010000000008</v>
      </c>
      <c r="L693" s="682" t="s">
        <v>238</v>
      </c>
      <c r="M693" s="976" t="s">
        <v>214</v>
      </c>
      <c r="O693" s="1001">
        <f>IF(H691=P695,O695,IF(H691=P696,O696,IF(H691=P697,O697,IF(H691=P698,O698,IF(H691=P699,O699,IF(H691=P700,O700,IF(H691=P701,O701,IF(H691=P702,O702,"none"))))))))</f>
        <v>7</v>
      </c>
      <c r="P693" s="1611"/>
      <c r="Q693" s="1099" t="s">
        <v>1676</v>
      </c>
      <c r="R693" s="1099" t="s">
        <v>1075</v>
      </c>
      <c r="S693" s="1099" t="s">
        <v>1667</v>
      </c>
      <c r="T693" s="1099" t="s">
        <v>1668</v>
      </c>
      <c r="U693" s="1211" t="s">
        <v>1675</v>
      </c>
      <c r="V693" s="1656" t="s">
        <v>1669</v>
      </c>
      <c r="W693" s="1656"/>
      <c r="X693" s="1656"/>
      <c r="Y693" s="1656" t="s">
        <v>1679</v>
      </c>
      <c r="Z693" s="1656"/>
      <c r="AA693" s="1656"/>
      <c r="AB693" s="1656" t="s">
        <v>1140</v>
      </c>
      <c r="AC693" s="1656"/>
      <c r="AD693" s="1656"/>
      <c r="AE693" s="1656" t="s">
        <v>1682</v>
      </c>
      <c r="AF693" s="1656"/>
      <c r="AG693" s="1656"/>
      <c r="AH693" s="1656" t="s">
        <v>1672</v>
      </c>
      <c r="AI693" s="1656"/>
      <c r="AJ693" s="1656"/>
      <c r="AK693" s="1656" t="s">
        <v>1681</v>
      </c>
      <c r="AL693" s="1656"/>
      <c r="AM693" s="1656"/>
      <c r="AN693" s="1656" t="s">
        <v>1069</v>
      </c>
      <c r="AO693" s="1656"/>
      <c r="AP693" s="1656"/>
      <c r="AQ693" s="1656" t="s">
        <v>1680</v>
      </c>
      <c r="AR693" s="1656"/>
      <c r="AS693" s="1656"/>
      <c r="AT693" s="1656" t="s">
        <v>1694</v>
      </c>
      <c r="AU693" s="1656"/>
      <c r="AV693" s="1656"/>
      <c r="AW693" s="1656" t="s">
        <v>1695</v>
      </c>
      <c r="AX693" s="1656"/>
      <c r="AY693" s="1656"/>
      <c r="AZ693" s="1103" t="s">
        <v>1691</v>
      </c>
      <c r="BA693" s="1103" t="s">
        <v>1692</v>
      </c>
      <c r="BB693" s="1103" t="s">
        <v>1691</v>
      </c>
      <c r="BC693" s="1103" t="s">
        <v>1692</v>
      </c>
      <c r="BE693" s="1111" t="s">
        <v>1684</v>
      </c>
      <c r="BF693" s="1604" t="s">
        <v>1670</v>
      </c>
      <c r="BG693" s="1705" t="s">
        <v>1671</v>
      </c>
    </row>
    <row r="694" spans="1:73" hidden="1">
      <c r="A694" s="1003"/>
      <c r="B694" s="999"/>
      <c r="C694" s="1172" t="s">
        <v>850</v>
      </c>
      <c r="D694" s="1011"/>
      <c r="E694" s="1011"/>
      <c r="F694" s="1012">
        <f>ROUNDDOWN(((0.1+S703+Q703+S703+0.1)/100)*0.1*F692,2)</f>
        <v>0.74</v>
      </c>
      <c r="G694" s="888" t="s">
        <v>251</v>
      </c>
      <c r="H694" s="1011">
        <f>IF(F694=0,0,H74)</f>
        <v>421.57000000000005</v>
      </c>
      <c r="I694" s="1016" t="s">
        <v>238</v>
      </c>
      <c r="J694" s="1016" t="s">
        <v>190</v>
      </c>
      <c r="K694" s="1012">
        <f>F694*H694</f>
        <v>311.96180000000004</v>
      </c>
      <c r="L694" s="682" t="s">
        <v>238</v>
      </c>
      <c r="M694" s="976" t="s">
        <v>239</v>
      </c>
      <c r="P694" s="1214"/>
      <c r="Q694" s="1099" t="s">
        <v>767</v>
      </c>
      <c r="R694" s="1099" t="s">
        <v>767</v>
      </c>
      <c r="S694" s="1099" t="s">
        <v>767</v>
      </c>
      <c r="T694" s="1099" t="s">
        <v>767</v>
      </c>
      <c r="U694" s="1099" t="s">
        <v>767</v>
      </c>
      <c r="V694" s="1113" t="s">
        <v>1670</v>
      </c>
      <c r="W694" s="1215" t="s">
        <v>1671</v>
      </c>
      <c r="X694" s="1113" t="s">
        <v>1673</v>
      </c>
      <c r="Y694" s="1113" t="s">
        <v>1670</v>
      </c>
      <c r="Z694" s="1215" t="s">
        <v>1671</v>
      </c>
      <c r="AA694" s="1113" t="s">
        <v>1673</v>
      </c>
      <c r="AB694" s="1113" t="s">
        <v>1670</v>
      </c>
      <c r="AC694" s="1215" t="s">
        <v>1671</v>
      </c>
      <c r="AD694" s="1113" t="s">
        <v>1673</v>
      </c>
      <c r="AE694" s="1113" t="s">
        <v>1670</v>
      </c>
      <c r="AF694" s="1215" t="s">
        <v>1671</v>
      </c>
      <c r="AG694" s="1113" t="s">
        <v>1673</v>
      </c>
      <c r="AH694" s="1113" t="s">
        <v>1670</v>
      </c>
      <c r="AI694" s="1215" t="s">
        <v>1671</v>
      </c>
      <c r="AJ694" s="1113" t="s">
        <v>1673</v>
      </c>
      <c r="AK694" s="1113" t="s">
        <v>1670</v>
      </c>
      <c r="AL694" s="1215" t="s">
        <v>1671</v>
      </c>
      <c r="AM694" s="1113" t="s">
        <v>1673</v>
      </c>
      <c r="AN694" s="1113" t="s">
        <v>1670</v>
      </c>
      <c r="AO694" s="1215" t="s">
        <v>1671</v>
      </c>
      <c r="AP694" s="1113" t="s">
        <v>1673</v>
      </c>
      <c r="AQ694" s="1113" t="s">
        <v>1670</v>
      </c>
      <c r="AR694" s="1215" t="s">
        <v>1671</v>
      </c>
      <c r="AS694" s="1113" t="s">
        <v>1673</v>
      </c>
      <c r="AT694" s="1113" t="s">
        <v>1670</v>
      </c>
      <c r="AU694" s="1215" t="s">
        <v>1671</v>
      </c>
      <c r="AV694" s="1113" t="s">
        <v>1673</v>
      </c>
      <c r="AW694" s="1113" t="s">
        <v>1670</v>
      </c>
      <c r="AX694" s="1215" t="s">
        <v>1671</v>
      </c>
      <c r="AY694" s="1113" t="s">
        <v>1673</v>
      </c>
      <c r="AZ694" s="1113" t="s">
        <v>6</v>
      </c>
      <c r="BA694" s="1113" t="s">
        <v>6</v>
      </c>
      <c r="BB694" s="1113" t="s">
        <v>7</v>
      </c>
      <c r="BC694" s="1113" t="s">
        <v>7</v>
      </c>
      <c r="BE694" s="1111" t="s">
        <v>585</v>
      </c>
      <c r="BF694" s="1604"/>
      <c r="BG694" s="1705"/>
    </row>
    <row r="695" spans="1:73" hidden="1">
      <c r="A695" s="1003"/>
      <c r="B695" s="999"/>
      <c r="C695" s="1172" t="s">
        <v>517</v>
      </c>
      <c r="D695" s="1011"/>
      <c r="E695" s="1011"/>
      <c r="F695" s="1012">
        <f>ROUNDDOWN(((0.1+S703+Q703+S703+0.1)/100)*0.05*F692,2)</f>
        <v>0.37</v>
      </c>
      <c r="G695" s="888" t="s">
        <v>251</v>
      </c>
      <c r="H695" s="1011">
        <f>IF(F695=0,0,M1305)</f>
        <v>1838</v>
      </c>
      <c r="I695" s="1016" t="s">
        <v>238</v>
      </c>
      <c r="J695" s="1016" t="s">
        <v>190</v>
      </c>
      <c r="K695" s="1012">
        <f t="shared" ref="K695:K705" si="32">F695*H695</f>
        <v>680.06</v>
      </c>
      <c r="L695" s="682" t="s">
        <v>238</v>
      </c>
      <c r="M695" s="976" t="s">
        <v>244</v>
      </c>
      <c r="O695" s="976">
        <v>1</v>
      </c>
      <c r="P695" s="1113" t="s">
        <v>1654</v>
      </c>
      <c r="Q695" s="1216">
        <v>30</v>
      </c>
      <c r="R695" s="1216">
        <v>30</v>
      </c>
      <c r="S695" s="1113">
        <v>10</v>
      </c>
      <c r="T695" s="1113">
        <v>10</v>
      </c>
      <c r="U695" s="1113">
        <v>39</v>
      </c>
      <c r="V695" s="1113">
        <v>9</v>
      </c>
      <c r="W695" s="1113">
        <v>20</v>
      </c>
      <c r="X695" s="1099">
        <f t="shared" ref="X695:X702" si="33">ROUNDDOWN(((T695+R695+S695)+(S695+Q695+S695)+(T695+R695+S695))/100,2)</f>
        <v>1.5</v>
      </c>
      <c r="Y695" s="1113">
        <f>VLOOKUP(S695,$BE$695:$BG$697,2)</f>
        <v>6</v>
      </c>
      <c r="Z695" s="1113">
        <f>VLOOKUP(S695,$BE$695:$BG$697,3)</f>
        <v>20</v>
      </c>
      <c r="AA695" s="1099">
        <f t="shared" ref="AA695:AA702" si="34">$F$692</f>
        <v>10</v>
      </c>
      <c r="AB695" s="1113">
        <v>9</v>
      </c>
      <c r="AC695" s="1113">
        <v>20</v>
      </c>
      <c r="AD695" s="1217">
        <f t="shared" ref="AD695:AD702" si="35">ROUNDDOWN(2*(R695+S695+(Q695/3))/100,2)</f>
        <v>1</v>
      </c>
      <c r="AE695" s="1113">
        <f>VLOOKUP(S695,$BE$695:$BG$697,2)</f>
        <v>6</v>
      </c>
      <c r="AF695" s="1113">
        <f>VLOOKUP(S695,$BE$695:$BG$697,3)</f>
        <v>20</v>
      </c>
      <c r="AG695" s="1099">
        <f t="shared" ref="AG695:AG702" si="36">$F$692</f>
        <v>10</v>
      </c>
      <c r="AH695" s="1113">
        <v>9</v>
      </c>
      <c r="AI695" s="1113">
        <v>15</v>
      </c>
      <c r="AJ695" s="1113">
        <f t="shared" ref="AJ695:AJ702" si="37">ROUNDDOWN(2*(T695+U695+T695)/100,2)</f>
        <v>1.18</v>
      </c>
      <c r="AK695" s="1113">
        <f>VLOOKUP(T695,$BE$695:$BG$697,2)</f>
        <v>6</v>
      </c>
      <c r="AL695" s="1113">
        <f>VLOOKUP(T695,$BE$695:$BG$697,3)</f>
        <v>20</v>
      </c>
      <c r="AM695" s="1099">
        <f t="shared" ref="AM695:AM702" si="38">$F$692</f>
        <v>10</v>
      </c>
      <c r="AN695" s="1113">
        <v>9</v>
      </c>
      <c r="AO695" s="1113">
        <v>15</v>
      </c>
      <c r="AP695" s="1099">
        <f t="shared" ref="AP695:AP702" si="39">ROUNDDOWN((S695+S695+Q695+S695+S695)/100,2)</f>
        <v>0.7</v>
      </c>
      <c r="AQ695" s="1113">
        <f>VLOOKUP(S695,$BE$695:$BG$697,2)</f>
        <v>6</v>
      </c>
      <c r="AR695" s="1113">
        <f>VLOOKUP(S695,$BE$695:$BG$697,3)</f>
        <v>20</v>
      </c>
      <c r="AS695" s="1099">
        <f t="shared" ref="AS695:AS702" si="40">$F$692</f>
        <v>10</v>
      </c>
      <c r="AT695" s="1113">
        <v>9</v>
      </c>
      <c r="AU695" s="1113">
        <v>20</v>
      </c>
      <c r="AV695" s="1099">
        <v>0.1</v>
      </c>
      <c r="AW695" s="1113">
        <v>9</v>
      </c>
      <c r="AX695" s="1113">
        <v>20</v>
      </c>
      <c r="AY695" s="1099">
        <v>0.1</v>
      </c>
      <c r="AZ695" s="1218">
        <v>0.122</v>
      </c>
      <c r="BA695" s="1218">
        <v>0.14099999999999999</v>
      </c>
      <c r="BB695" s="1218">
        <f>0.245+10+5</f>
        <v>15.244999999999999</v>
      </c>
      <c r="BC695" s="1218">
        <f>0.08+0.039</f>
        <v>0.11899999999999999</v>
      </c>
      <c r="BE695" s="1113">
        <v>10</v>
      </c>
      <c r="BF695" s="1113">
        <v>6</v>
      </c>
      <c r="BG695" s="1113">
        <v>20</v>
      </c>
    </row>
    <row r="696" spans="1:73" hidden="1">
      <c r="A696" s="1003"/>
      <c r="B696" s="999"/>
      <c r="C696" s="1172" t="s">
        <v>253</v>
      </c>
      <c r="D696" s="1011"/>
      <c r="E696" s="1011"/>
      <c r="F696" s="1219">
        <f>ROUNDDOWN((AZ704+BA704)*F692,2)</f>
        <v>4.99</v>
      </c>
      <c r="G696" s="888" t="s">
        <v>251</v>
      </c>
      <c r="H696" s="1011">
        <f>IF(F696=0,0,M1279)</f>
        <v>2171</v>
      </c>
      <c r="I696" s="1016" t="s">
        <v>238</v>
      </c>
      <c r="J696" s="1016" t="s">
        <v>190</v>
      </c>
      <c r="K696" s="1012">
        <f t="shared" si="32"/>
        <v>10833.29</v>
      </c>
      <c r="L696" s="682" t="s">
        <v>238</v>
      </c>
      <c r="M696" s="976" t="s">
        <v>236</v>
      </c>
      <c r="O696" s="976">
        <v>2</v>
      </c>
      <c r="P696" s="1113" t="s">
        <v>1655</v>
      </c>
      <c r="Q696" s="1216">
        <v>30</v>
      </c>
      <c r="R696" s="1216">
        <v>50</v>
      </c>
      <c r="S696" s="1113">
        <v>10</v>
      </c>
      <c r="T696" s="1113">
        <v>10</v>
      </c>
      <c r="U696" s="1113">
        <v>39</v>
      </c>
      <c r="V696" s="1113">
        <v>9</v>
      </c>
      <c r="W696" s="1113">
        <v>15</v>
      </c>
      <c r="X696" s="1099">
        <f t="shared" si="33"/>
        <v>1.9</v>
      </c>
      <c r="Y696" s="1113">
        <f t="shared" ref="Y696:Y702" si="41">VLOOKUP(S696,$BE$695:$BG$697,2)</f>
        <v>6</v>
      </c>
      <c r="Z696" s="1113">
        <f t="shared" ref="Z696:Z702" si="42">VLOOKUP(S696,$BE$695:$BG$697,3)</f>
        <v>20</v>
      </c>
      <c r="AA696" s="1099">
        <f t="shared" si="34"/>
        <v>10</v>
      </c>
      <c r="AB696" s="1113">
        <v>9</v>
      </c>
      <c r="AC696" s="1113">
        <v>15</v>
      </c>
      <c r="AD696" s="1217">
        <f t="shared" si="35"/>
        <v>1.4</v>
      </c>
      <c r="AE696" s="1113">
        <f t="shared" ref="AE696:AE702" si="43">VLOOKUP(S696,$BE$695:$BG$697,2)</f>
        <v>6</v>
      </c>
      <c r="AF696" s="1113">
        <f t="shared" ref="AF696:AF702" si="44">VLOOKUP(S696,$BE$695:$BG$697,3)</f>
        <v>20</v>
      </c>
      <c r="AG696" s="1099">
        <f t="shared" si="36"/>
        <v>10</v>
      </c>
      <c r="AH696" s="1113">
        <v>9</v>
      </c>
      <c r="AI696" s="1113">
        <v>15</v>
      </c>
      <c r="AJ696" s="1113">
        <f t="shared" si="37"/>
        <v>1.18</v>
      </c>
      <c r="AK696" s="1113">
        <f t="shared" ref="AK696:AK702" si="45">VLOOKUP(T696,$BE$695:$BG$697,2)</f>
        <v>6</v>
      </c>
      <c r="AL696" s="1113">
        <f t="shared" ref="AL696:AL702" si="46">VLOOKUP(T696,$BE$695:$BG$697,3)</f>
        <v>20</v>
      </c>
      <c r="AM696" s="1099">
        <f t="shared" si="38"/>
        <v>10</v>
      </c>
      <c r="AN696" s="1113">
        <v>9</v>
      </c>
      <c r="AO696" s="1113">
        <v>15</v>
      </c>
      <c r="AP696" s="1099">
        <f t="shared" si="39"/>
        <v>0.7</v>
      </c>
      <c r="AQ696" s="1113">
        <f t="shared" ref="AQ696:AQ702" si="47">VLOOKUP(S696,$BE$695:$BG$697,2)</f>
        <v>6</v>
      </c>
      <c r="AR696" s="1113">
        <f t="shared" ref="AR696:AR702" si="48">VLOOKUP(S696,$BE$695:$BG$697,3)</f>
        <v>20</v>
      </c>
      <c r="AS696" s="1099">
        <f t="shared" si="40"/>
        <v>10</v>
      </c>
      <c r="AT696" s="1113">
        <v>9</v>
      </c>
      <c r="AU696" s="1113">
        <v>20</v>
      </c>
      <c r="AV696" s="1099">
        <v>0.1</v>
      </c>
      <c r="AW696" s="1113">
        <v>9</v>
      </c>
      <c r="AX696" s="1113">
        <v>20</v>
      </c>
      <c r="AY696" s="1099">
        <v>0.1</v>
      </c>
      <c r="AZ696" s="1218">
        <v>0.16200000000000001</v>
      </c>
      <c r="BA696" s="1218">
        <v>0.14099999999999999</v>
      </c>
      <c r="BB696" s="1218">
        <f>0.325+14+9</f>
        <v>23.324999999999999</v>
      </c>
      <c r="BC696" s="1218">
        <f>0.08+0.039</f>
        <v>0.11899999999999999</v>
      </c>
      <c r="BE696" s="1113">
        <v>12</v>
      </c>
      <c r="BF696" s="1113">
        <v>6</v>
      </c>
      <c r="BG696" s="1113">
        <v>20</v>
      </c>
    </row>
    <row r="697" spans="1:73" hidden="1">
      <c r="A697" s="1003"/>
      <c r="B697" s="999"/>
      <c r="C697" s="1172" t="s">
        <v>254</v>
      </c>
      <c r="D697" s="1011"/>
      <c r="E697" s="1011"/>
      <c r="F697" s="1219">
        <f>BB704</f>
        <v>32.94</v>
      </c>
      <c r="G697" s="1178" t="s">
        <v>255</v>
      </c>
      <c r="H697" s="1011">
        <f>IF(F697=0,0,K1454)</f>
        <v>254</v>
      </c>
      <c r="I697" s="1016" t="s">
        <v>238</v>
      </c>
      <c r="J697" s="1016" t="s">
        <v>190</v>
      </c>
      <c r="K697" s="1012">
        <f t="shared" si="32"/>
        <v>8366.76</v>
      </c>
      <c r="L697" s="682" t="s">
        <v>238</v>
      </c>
      <c r="M697" s="976" t="s">
        <v>249</v>
      </c>
      <c r="O697" s="976">
        <v>3</v>
      </c>
      <c r="P697" s="1113" t="s">
        <v>1656</v>
      </c>
      <c r="Q697" s="1216">
        <v>30</v>
      </c>
      <c r="R697" s="1216">
        <v>70</v>
      </c>
      <c r="S697" s="1113">
        <v>12</v>
      </c>
      <c r="T697" s="1113">
        <v>10</v>
      </c>
      <c r="U697" s="1113">
        <v>43</v>
      </c>
      <c r="V697" s="1113">
        <v>9</v>
      </c>
      <c r="W697" s="1113">
        <v>10</v>
      </c>
      <c r="X697" s="1099">
        <f t="shared" si="33"/>
        <v>2.38</v>
      </c>
      <c r="Y697" s="1113">
        <f t="shared" si="41"/>
        <v>6</v>
      </c>
      <c r="Z697" s="1113">
        <f t="shared" si="42"/>
        <v>20</v>
      </c>
      <c r="AA697" s="1099">
        <f t="shared" si="34"/>
        <v>10</v>
      </c>
      <c r="AB697" s="1113">
        <v>9</v>
      </c>
      <c r="AC697" s="1113">
        <v>10</v>
      </c>
      <c r="AD697" s="1217">
        <f t="shared" si="35"/>
        <v>1.84</v>
      </c>
      <c r="AE697" s="1113">
        <f t="shared" si="43"/>
        <v>6</v>
      </c>
      <c r="AF697" s="1113">
        <f t="shared" si="44"/>
        <v>20</v>
      </c>
      <c r="AG697" s="1099">
        <f t="shared" si="36"/>
        <v>10</v>
      </c>
      <c r="AH697" s="1113">
        <v>9</v>
      </c>
      <c r="AI697" s="1113">
        <v>15</v>
      </c>
      <c r="AJ697" s="1113">
        <f t="shared" si="37"/>
        <v>1.26</v>
      </c>
      <c r="AK697" s="1113">
        <f t="shared" si="45"/>
        <v>6</v>
      </c>
      <c r="AL697" s="1113">
        <f t="shared" si="46"/>
        <v>20</v>
      </c>
      <c r="AM697" s="1099">
        <f t="shared" si="38"/>
        <v>10</v>
      </c>
      <c r="AN697" s="1113">
        <v>9</v>
      </c>
      <c r="AO697" s="1113">
        <v>15</v>
      </c>
      <c r="AP697" s="1099">
        <f t="shared" si="39"/>
        <v>0.78</v>
      </c>
      <c r="AQ697" s="1113">
        <f t="shared" si="47"/>
        <v>6</v>
      </c>
      <c r="AR697" s="1113">
        <f t="shared" si="48"/>
        <v>20</v>
      </c>
      <c r="AS697" s="1099">
        <f t="shared" si="40"/>
        <v>10</v>
      </c>
      <c r="AT697" s="1113">
        <v>9</v>
      </c>
      <c r="AU697" s="1113">
        <v>20</v>
      </c>
      <c r="AV697" s="1099">
        <v>0.1</v>
      </c>
      <c r="AW697" s="1113">
        <v>9</v>
      </c>
      <c r="AX697" s="1113">
        <v>20</v>
      </c>
      <c r="AY697" s="1099">
        <v>0.1</v>
      </c>
      <c r="AZ697" s="1218">
        <v>0.245</v>
      </c>
      <c r="BA697" s="1218">
        <v>0.157</v>
      </c>
      <c r="BB697" s="1218">
        <f>0.49+18.4+13</f>
        <v>31.889999999999997</v>
      </c>
      <c r="BC697" s="1218">
        <f>0.08+0.043</f>
        <v>0.123</v>
      </c>
      <c r="BE697" s="1113">
        <v>15</v>
      </c>
      <c r="BF697" s="1113">
        <v>6</v>
      </c>
      <c r="BG697" s="1113">
        <v>15</v>
      </c>
    </row>
    <row r="698" spans="1:73" hidden="1">
      <c r="A698" s="1003"/>
      <c r="B698" s="999"/>
      <c r="C698" s="1172" t="s">
        <v>5</v>
      </c>
      <c r="D698" s="1011"/>
      <c r="E698" s="1011"/>
      <c r="F698" s="1012"/>
      <c r="G698" s="1011"/>
      <c r="H698" s="1011"/>
      <c r="I698" s="807"/>
      <c r="J698" s="1016"/>
      <c r="K698" s="1012"/>
      <c r="L698" s="682"/>
      <c r="O698" s="976">
        <v>4</v>
      </c>
      <c r="P698" s="1113" t="s">
        <v>1657</v>
      </c>
      <c r="Q698" s="1216">
        <v>30</v>
      </c>
      <c r="R698" s="1216">
        <v>100</v>
      </c>
      <c r="S698" s="1113">
        <v>15</v>
      </c>
      <c r="T698" s="1113">
        <v>10</v>
      </c>
      <c r="U698" s="1113">
        <v>49</v>
      </c>
      <c r="V698" s="1113">
        <v>12</v>
      </c>
      <c r="W698" s="1113">
        <v>10</v>
      </c>
      <c r="X698" s="1099">
        <f t="shared" si="33"/>
        <v>3.1</v>
      </c>
      <c r="Y698" s="1113">
        <f t="shared" si="41"/>
        <v>6</v>
      </c>
      <c r="Z698" s="1113">
        <f t="shared" si="42"/>
        <v>15</v>
      </c>
      <c r="AA698" s="1099">
        <f t="shared" si="34"/>
        <v>10</v>
      </c>
      <c r="AB698" s="1113">
        <v>12</v>
      </c>
      <c r="AC698" s="1113">
        <v>10</v>
      </c>
      <c r="AD698" s="1217">
        <f t="shared" si="35"/>
        <v>2.5</v>
      </c>
      <c r="AE698" s="1113">
        <f t="shared" si="43"/>
        <v>6</v>
      </c>
      <c r="AF698" s="1113">
        <f t="shared" si="44"/>
        <v>15</v>
      </c>
      <c r="AG698" s="1099">
        <f t="shared" si="36"/>
        <v>10</v>
      </c>
      <c r="AH698" s="1113">
        <v>9</v>
      </c>
      <c r="AI698" s="1113">
        <v>15</v>
      </c>
      <c r="AJ698" s="1113">
        <f t="shared" si="37"/>
        <v>1.38</v>
      </c>
      <c r="AK698" s="1113">
        <f t="shared" si="45"/>
        <v>6</v>
      </c>
      <c r="AL698" s="1113">
        <f t="shared" si="46"/>
        <v>20</v>
      </c>
      <c r="AM698" s="1099">
        <f t="shared" si="38"/>
        <v>10</v>
      </c>
      <c r="AN698" s="1113">
        <v>9</v>
      </c>
      <c r="AO698" s="1113">
        <v>15</v>
      </c>
      <c r="AP698" s="1099">
        <f t="shared" si="39"/>
        <v>0.9</v>
      </c>
      <c r="AQ698" s="1113">
        <f t="shared" si="47"/>
        <v>6</v>
      </c>
      <c r="AR698" s="1113">
        <f t="shared" si="48"/>
        <v>15</v>
      </c>
      <c r="AS698" s="1099">
        <f t="shared" si="40"/>
        <v>10</v>
      </c>
      <c r="AT698" s="1113">
        <v>9</v>
      </c>
      <c r="AU698" s="1113">
        <v>20</v>
      </c>
      <c r="AV698" s="1099">
        <v>0.1</v>
      </c>
      <c r="AW698" s="1113">
        <v>9</v>
      </c>
      <c r="AX698" s="1113">
        <v>20</v>
      </c>
      <c r="AY698" s="1099">
        <v>0.1</v>
      </c>
      <c r="AZ698" s="1218">
        <v>0.40200000000000002</v>
      </c>
      <c r="BA698" s="1218">
        <v>0.18099999999999999</v>
      </c>
      <c r="BB698" s="1218">
        <f>0.805+25+19</f>
        <v>44.805</v>
      </c>
      <c r="BC698" s="1218">
        <f>0.08+0.049</f>
        <v>0.129</v>
      </c>
      <c r="BP698" s="1697" t="s">
        <v>1699</v>
      </c>
      <c r="BQ698" s="1698"/>
      <c r="BR698" s="1699"/>
      <c r="BS698" s="1697" t="s">
        <v>1700</v>
      </c>
      <c r="BT698" s="1698"/>
      <c r="BU698" s="1699"/>
    </row>
    <row r="699" spans="1:73" hidden="1">
      <c r="A699" s="1003"/>
      <c r="B699" s="999"/>
      <c r="C699" s="1172" t="s">
        <v>261</v>
      </c>
      <c r="D699" s="1011"/>
      <c r="E699" s="1011"/>
      <c r="F699" s="1012">
        <f>BR700</f>
        <v>59.58</v>
      </c>
      <c r="G699" s="1178" t="s">
        <v>242</v>
      </c>
      <c r="H699" s="1011">
        <f>IF(F699=0,0,J1314)</f>
        <v>22.41</v>
      </c>
      <c r="I699" s="1016" t="s">
        <v>238</v>
      </c>
      <c r="J699" s="1016" t="s">
        <v>190</v>
      </c>
      <c r="K699" s="1012">
        <f t="shared" si="32"/>
        <v>1335.1877999999999</v>
      </c>
      <c r="L699" s="682" t="s">
        <v>238</v>
      </c>
      <c r="M699" s="976" t="s">
        <v>246</v>
      </c>
      <c r="O699" s="976">
        <v>5</v>
      </c>
      <c r="P699" s="1113" t="s">
        <v>1658</v>
      </c>
      <c r="Q699" s="1216">
        <v>50</v>
      </c>
      <c r="R699" s="1216">
        <v>30</v>
      </c>
      <c r="S699" s="1113">
        <v>10</v>
      </c>
      <c r="T699" s="1113">
        <v>15</v>
      </c>
      <c r="U699" s="1113">
        <v>59</v>
      </c>
      <c r="V699" s="1113">
        <v>9</v>
      </c>
      <c r="W699" s="1113">
        <v>20</v>
      </c>
      <c r="X699" s="1099">
        <f t="shared" si="33"/>
        <v>1.8</v>
      </c>
      <c r="Y699" s="1113">
        <f t="shared" si="41"/>
        <v>6</v>
      </c>
      <c r="Z699" s="1113">
        <f t="shared" si="42"/>
        <v>20</v>
      </c>
      <c r="AA699" s="1099">
        <f t="shared" si="34"/>
        <v>10</v>
      </c>
      <c r="AB699" s="1113">
        <v>9</v>
      </c>
      <c r="AC699" s="1113">
        <v>20</v>
      </c>
      <c r="AD699" s="1217">
        <f t="shared" si="35"/>
        <v>1.1299999999999999</v>
      </c>
      <c r="AE699" s="1113">
        <f t="shared" si="43"/>
        <v>6</v>
      </c>
      <c r="AF699" s="1113">
        <f t="shared" si="44"/>
        <v>20</v>
      </c>
      <c r="AG699" s="1099">
        <f t="shared" si="36"/>
        <v>10</v>
      </c>
      <c r="AH699" s="1113">
        <v>9</v>
      </c>
      <c r="AI699" s="1113">
        <v>10</v>
      </c>
      <c r="AJ699" s="1113">
        <f t="shared" si="37"/>
        <v>1.78</v>
      </c>
      <c r="AK699" s="1113">
        <f t="shared" si="45"/>
        <v>6</v>
      </c>
      <c r="AL699" s="1113">
        <f t="shared" si="46"/>
        <v>15</v>
      </c>
      <c r="AM699" s="1099">
        <f t="shared" si="38"/>
        <v>10</v>
      </c>
      <c r="AN699" s="1113">
        <v>9</v>
      </c>
      <c r="AO699" s="1113">
        <v>10</v>
      </c>
      <c r="AP699" s="1099">
        <f t="shared" si="39"/>
        <v>0.9</v>
      </c>
      <c r="AQ699" s="1113">
        <f t="shared" si="47"/>
        <v>6</v>
      </c>
      <c r="AR699" s="1113">
        <f t="shared" si="48"/>
        <v>20</v>
      </c>
      <c r="AS699" s="1099">
        <f t="shared" si="40"/>
        <v>10</v>
      </c>
      <c r="AT699" s="1113">
        <v>9</v>
      </c>
      <c r="AU699" s="1113">
        <v>20</v>
      </c>
      <c r="AV699" s="1099">
        <v>0.1</v>
      </c>
      <c r="AW699" s="1113">
        <v>9</v>
      </c>
      <c r="AX699" s="1113">
        <v>20</v>
      </c>
      <c r="AY699" s="1099">
        <v>0.1</v>
      </c>
      <c r="AZ699" s="1218">
        <v>0.14699999999999999</v>
      </c>
      <c r="BA699" s="1218">
        <v>0.20899999999999999</v>
      </c>
      <c r="BB699" s="1218">
        <f>0.295+11+5</f>
        <v>16.295000000000002</v>
      </c>
      <c r="BC699" s="1218">
        <f>0.12+0.177</f>
        <v>0.29699999999999999</v>
      </c>
      <c r="BE699" s="1113" t="s">
        <v>1690</v>
      </c>
      <c r="BF699" s="1113" t="s">
        <v>1669</v>
      </c>
      <c r="BG699" s="1113" t="s">
        <v>1679</v>
      </c>
      <c r="BH699" s="1113" t="s">
        <v>1140</v>
      </c>
      <c r="BI699" s="1113" t="s">
        <v>1682</v>
      </c>
      <c r="BJ699" s="1113" t="s">
        <v>1672</v>
      </c>
      <c r="BK699" s="1113" t="s">
        <v>1681</v>
      </c>
      <c r="BL699" s="1113" t="s">
        <v>1069</v>
      </c>
      <c r="BM699" s="1113" t="s">
        <v>1680</v>
      </c>
      <c r="BN699" s="1113" t="s">
        <v>1696</v>
      </c>
      <c r="BO699" s="1113" t="s">
        <v>1697</v>
      </c>
      <c r="BP699" s="1113" t="s">
        <v>811</v>
      </c>
      <c r="BQ699" s="1113" t="s">
        <v>1702</v>
      </c>
      <c r="BR699" s="1113" t="s">
        <v>1698</v>
      </c>
      <c r="BS699" s="1113" t="s">
        <v>811</v>
      </c>
      <c r="BT699" s="1113" t="s">
        <v>1702</v>
      </c>
      <c r="BU699" s="1113" t="s">
        <v>1698</v>
      </c>
    </row>
    <row r="700" spans="1:73" hidden="1">
      <c r="A700" s="1003"/>
      <c r="B700" s="999"/>
      <c r="C700" s="1172" t="s">
        <v>256</v>
      </c>
      <c r="D700" s="1011"/>
      <c r="E700" s="1011"/>
      <c r="F700" s="1012">
        <f>BR701</f>
        <v>314.51</v>
      </c>
      <c r="G700" s="1178" t="s">
        <v>242</v>
      </c>
      <c r="H700" s="1011">
        <f>IF(F700=0,0,J1322)</f>
        <v>21.43</v>
      </c>
      <c r="I700" s="1016" t="s">
        <v>238</v>
      </c>
      <c r="J700" s="1016" t="s">
        <v>190</v>
      </c>
      <c r="K700" s="1012">
        <f t="shared" si="32"/>
        <v>6739.9492999999993</v>
      </c>
      <c r="L700" s="682" t="s">
        <v>238</v>
      </c>
      <c r="M700" s="976" t="s">
        <v>247</v>
      </c>
      <c r="O700" s="976">
        <v>6</v>
      </c>
      <c r="P700" s="1113" t="s">
        <v>1659</v>
      </c>
      <c r="Q700" s="1216">
        <v>50</v>
      </c>
      <c r="R700" s="1216">
        <v>50</v>
      </c>
      <c r="S700" s="1113">
        <v>10</v>
      </c>
      <c r="T700" s="1113">
        <v>15</v>
      </c>
      <c r="U700" s="1113">
        <v>59</v>
      </c>
      <c r="V700" s="1113">
        <v>9</v>
      </c>
      <c r="W700" s="1113">
        <v>15</v>
      </c>
      <c r="X700" s="1099">
        <f t="shared" si="33"/>
        <v>2.2000000000000002</v>
      </c>
      <c r="Y700" s="1113">
        <f t="shared" si="41"/>
        <v>6</v>
      </c>
      <c r="Z700" s="1113">
        <f t="shared" si="42"/>
        <v>20</v>
      </c>
      <c r="AA700" s="1099">
        <f t="shared" si="34"/>
        <v>10</v>
      </c>
      <c r="AB700" s="1113">
        <v>9</v>
      </c>
      <c r="AC700" s="1113">
        <v>15</v>
      </c>
      <c r="AD700" s="1217">
        <f t="shared" si="35"/>
        <v>1.53</v>
      </c>
      <c r="AE700" s="1113">
        <f t="shared" si="43"/>
        <v>6</v>
      </c>
      <c r="AF700" s="1113">
        <f t="shared" si="44"/>
        <v>20</v>
      </c>
      <c r="AG700" s="1099">
        <f t="shared" si="36"/>
        <v>10</v>
      </c>
      <c r="AH700" s="1113">
        <v>9</v>
      </c>
      <c r="AI700" s="1113">
        <v>10</v>
      </c>
      <c r="AJ700" s="1113">
        <f t="shared" si="37"/>
        <v>1.78</v>
      </c>
      <c r="AK700" s="1113">
        <f t="shared" si="45"/>
        <v>6</v>
      </c>
      <c r="AL700" s="1113">
        <f t="shared" si="46"/>
        <v>15</v>
      </c>
      <c r="AM700" s="1099">
        <f t="shared" si="38"/>
        <v>10</v>
      </c>
      <c r="AN700" s="1113">
        <v>9</v>
      </c>
      <c r="AO700" s="1113">
        <v>10</v>
      </c>
      <c r="AP700" s="1099">
        <f t="shared" si="39"/>
        <v>0.9</v>
      </c>
      <c r="AQ700" s="1113">
        <f t="shared" si="47"/>
        <v>6</v>
      </c>
      <c r="AR700" s="1113">
        <f t="shared" si="48"/>
        <v>20</v>
      </c>
      <c r="AS700" s="1099">
        <f t="shared" si="40"/>
        <v>10</v>
      </c>
      <c r="AT700" s="1113">
        <v>9</v>
      </c>
      <c r="AU700" s="1113">
        <v>20</v>
      </c>
      <c r="AV700" s="1099">
        <v>0.1</v>
      </c>
      <c r="AW700" s="1113">
        <v>9</v>
      </c>
      <c r="AX700" s="1113">
        <v>20</v>
      </c>
      <c r="AY700" s="1099">
        <v>0.1</v>
      </c>
      <c r="AZ700" s="1218">
        <v>0.187</v>
      </c>
      <c r="BA700" s="1218">
        <v>0.20899999999999999</v>
      </c>
      <c r="BB700" s="1218">
        <f>0.375+15+9</f>
        <v>24.375</v>
      </c>
      <c r="BC700" s="1218">
        <f>0.12+0.177</f>
        <v>0.29699999999999999</v>
      </c>
      <c r="BD700" s="976">
        <v>6</v>
      </c>
      <c r="BE700" s="1113" t="s">
        <v>1686</v>
      </c>
      <c r="BF700" s="1217">
        <f>IF(V$703=$BD700,X$704,0)</f>
        <v>0</v>
      </c>
      <c r="BG700" s="1217">
        <f>IF(Y$703=$BD700,AA$704,0)</f>
        <v>85</v>
      </c>
      <c r="BH700" s="1217">
        <f>IF(AB$703=$BD700,AD$704,0)</f>
        <v>0</v>
      </c>
      <c r="BI700" s="1217">
        <f>IF(AE$703=$BD700,AG$704,0)</f>
        <v>85</v>
      </c>
      <c r="BJ700" s="1217">
        <f>IF(AH$703=$BD700,AJ$704,0)</f>
        <v>0</v>
      </c>
      <c r="BK700" s="1217">
        <f>IF(AK$703=$BD700,AM$704,0)</f>
        <v>84</v>
      </c>
      <c r="BL700" s="1217">
        <f>IF(AN$703=$BD700,AP$704,0)</f>
        <v>0</v>
      </c>
      <c r="BM700" s="1217">
        <f>IF(AQ$703=$BD700,AS$704,0)</f>
        <v>74</v>
      </c>
      <c r="BN700" s="1217">
        <f>IF(AT$703=$BD700,AV$704,0)</f>
        <v>0</v>
      </c>
      <c r="BO700" s="1217">
        <f>IF(AW$703=$BD700,AY$704,0)</f>
        <v>0</v>
      </c>
      <c r="BP700" s="1217">
        <f>SUM(BF700:BI700,BL700:BN700)</f>
        <v>244</v>
      </c>
      <c r="BQ700" s="1220">
        <v>0.1</v>
      </c>
      <c r="BR700" s="1217">
        <f>ROUNDDOWN(FIXED(0.785*0.25*PI()*(BD700/10)^2,3)*BP700*(1+BQ700),2)</f>
        <v>59.58</v>
      </c>
      <c r="BS700" s="1217">
        <f>SUM(BJ700:BK700,BO700)</f>
        <v>84</v>
      </c>
      <c r="BT700" s="1220">
        <v>0.1</v>
      </c>
      <c r="BU700" s="1217">
        <f>ROUNDDOWN(FIXED(0.785*0.25*PI()*(BD700/10)^2,3)*BS700*(1+BT700),2)</f>
        <v>20.51</v>
      </c>
    </row>
    <row r="701" spans="1:73" hidden="1">
      <c r="A701" s="1003"/>
      <c r="B701" s="999"/>
      <c r="C701" s="1172" t="s">
        <v>1693</v>
      </c>
      <c r="D701" s="1011"/>
      <c r="E701" s="1011"/>
      <c r="F701" s="1012">
        <f>BR702</f>
        <v>0</v>
      </c>
      <c r="G701" s="1178" t="s">
        <v>242</v>
      </c>
      <c r="H701" s="1011">
        <f>IF(F701=0,0,J1330)</f>
        <v>0</v>
      </c>
      <c r="I701" s="1016" t="s">
        <v>238</v>
      </c>
      <c r="J701" s="1016" t="s">
        <v>190</v>
      </c>
      <c r="K701" s="1012">
        <f>F701*H701</f>
        <v>0</v>
      </c>
      <c r="L701" s="682" t="s">
        <v>238</v>
      </c>
      <c r="M701" s="976" t="s">
        <v>262</v>
      </c>
      <c r="O701" s="976">
        <v>7</v>
      </c>
      <c r="P701" s="1113" t="s">
        <v>1660</v>
      </c>
      <c r="Q701" s="1216">
        <v>50</v>
      </c>
      <c r="R701" s="1216">
        <v>70</v>
      </c>
      <c r="S701" s="1113">
        <v>12</v>
      </c>
      <c r="T701" s="1113">
        <v>15</v>
      </c>
      <c r="U701" s="1113">
        <v>63</v>
      </c>
      <c r="V701" s="1113">
        <v>9</v>
      </c>
      <c r="W701" s="1113">
        <v>10</v>
      </c>
      <c r="X701" s="1099">
        <f t="shared" si="33"/>
        <v>2.68</v>
      </c>
      <c r="Y701" s="1113">
        <f t="shared" si="41"/>
        <v>6</v>
      </c>
      <c r="Z701" s="1113">
        <f t="shared" si="42"/>
        <v>20</v>
      </c>
      <c r="AA701" s="1099">
        <f t="shared" si="34"/>
        <v>10</v>
      </c>
      <c r="AB701" s="1113">
        <v>9</v>
      </c>
      <c r="AC701" s="1113">
        <v>10</v>
      </c>
      <c r="AD701" s="1217">
        <f t="shared" si="35"/>
        <v>1.97</v>
      </c>
      <c r="AE701" s="1113">
        <f t="shared" si="43"/>
        <v>6</v>
      </c>
      <c r="AF701" s="1113">
        <f t="shared" si="44"/>
        <v>20</v>
      </c>
      <c r="AG701" s="1099">
        <f t="shared" si="36"/>
        <v>10</v>
      </c>
      <c r="AH701" s="1113">
        <v>9</v>
      </c>
      <c r="AI701" s="1113">
        <v>10</v>
      </c>
      <c r="AJ701" s="1113">
        <f t="shared" si="37"/>
        <v>1.86</v>
      </c>
      <c r="AK701" s="1113">
        <f t="shared" si="45"/>
        <v>6</v>
      </c>
      <c r="AL701" s="1113">
        <f t="shared" si="46"/>
        <v>15</v>
      </c>
      <c r="AM701" s="1099">
        <f t="shared" si="38"/>
        <v>10</v>
      </c>
      <c r="AN701" s="1113">
        <v>9</v>
      </c>
      <c r="AO701" s="1113">
        <v>10</v>
      </c>
      <c r="AP701" s="1099">
        <f t="shared" si="39"/>
        <v>0.98</v>
      </c>
      <c r="AQ701" s="1113">
        <f t="shared" si="47"/>
        <v>6</v>
      </c>
      <c r="AR701" s="1113">
        <f t="shared" si="48"/>
        <v>20</v>
      </c>
      <c r="AS701" s="1099">
        <f t="shared" si="40"/>
        <v>10</v>
      </c>
      <c r="AT701" s="1113">
        <v>9</v>
      </c>
      <c r="AU701" s="1113">
        <v>20</v>
      </c>
      <c r="AV701" s="1099">
        <v>0.1</v>
      </c>
      <c r="AW701" s="1113">
        <v>9</v>
      </c>
      <c r="AX701" s="1113">
        <v>20</v>
      </c>
      <c r="AY701" s="1099">
        <v>0.1</v>
      </c>
      <c r="AZ701" s="1218">
        <v>0.27400000000000002</v>
      </c>
      <c r="BA701" s="1218">
        <v>0.22500000000000001</v>
      </c>
      <c r="BB701" s="1218">
        <f>0.548+19.4+13</f>
        <v>32.948</v>
      </c>
      <c r="BC701" s="1218">
        <f>0.12+0.189</f>
        <v>0.309</v>
      </c>
      <c r="BD701" s="976">
        <v>9</v>
      </c>
      <c r="BE701" s="1113" t="s">
        <v>1131</v>
      </c>
      <c r="BF701" s="1217">
        <f>IF(V$703=$BD701,X$704,0)</f>
        <v>268</v>
      </c>
      <c r="BG701" s="1217">
        <f>IF(Y$703=$BD701,AA$704,0)</f>
        <v>0</v>
      </c>
      <c r="BH701" s="1217">
        <f>IF(AB$703=$BD701,AD$704,0)</f>
        <v>197</v>
      </c>
      <c r="BI701" s="1217">
        <f>IF(AE$703=$BD701,AG$704,0)</f>
        <v>0</v>
      </c>
      <c r="BJ701" s="1217">
        <f>IF(AH$703=$BD701,AJ$704,0)</f>
        <v>186</v>
      </c>
      <c r="BK701" s="1217">
        <f>IF(AK$703=$BD701,AM$704,0)</f>
        <v>0</v>
      </c>
      <c r="BL701" s="1217">
        <f>IF(AN$703=$BD701,AP$704,0)</f>
        <v>98</v>
      </c>
      <c r="BM701" s="1217">
        <f>IF(AQ$703=$BD701,AS$704,0)</f>
        <v>0</v>
      </c>
      <c r="BN701" s="1217">
        <f>IF(AT$703=$BD701,AV$704,0)</f>
        <v>10</v>
      </c>
      <c r="BO701" s="1217">
        <f>IF(AW$703=$BD701,AY$704,0)</f>
        <v>10</v>
      </c>
      <c r="BP701" s="1217">
        <f>SUM(BF701:BI701,BL701:BN701)</f>
        <v>573</v>
      </c>
      <c r="BQ701" s="1220">
        <v>0.1</v>
      </c>
      <c r="BR701" s="1217">
        <f>ROUNDDOWN(FIXED(0.785*0.25*PI()*(BD701/10)^2,3)*BP701*(1+BQ701),2)</f>
        <v>314.51</v>
      </c>
      <c r="BS701" s="1217">
        <f>SUM(BJ701:BK701,BO701)</f>
        <v>196</v>
      </c>
      <c r="BT701" s="1220">
        <v>0.1</v>
      </c>
      <c r="BU701" s="1217">
        <f>ROUNDDOWN(FIXED(0.785*0.25*PI()*(BD701/10)^2,3)*BS701*(1+BT701),2)</f>
        <v>107.58</v>
      </c>
    </row>
    <row r="702" spans="1:73" hidden="1">
      <c r="A702" s="1003"/>
      <c r="B702" s="999"/>
      <c r="C702" s="1172" t="s">
        <v>8</v>
      </c>
      <c r="D702" s="1011"/>
      <c r="E702" s="1011"/>
      <c r="F702" s="1012">
        <f>SUM(F699:F700)</f>
        <v>374.09</v>
      </c>
      <c r="G702" s="1178" t="s">
        <v>242</v>
      </c>
      <c r="H702" s="1011">
        <f>ROUNDDOWN(IF(F702=0,0,IF(F702/1000&gt;100,2900/1000,3300/1000)),2)</f>
        <v>3.3</v>
      </c>
      <c r="I702" s="1016" t="s">
        <v>238</v>
      </c>
      <c r="J702" s="1016" t="s">
        <v>190</v>
      </c>
      <c r="K702" s="1012">
        <f t="shared" si="32"/>
        <v>1234.4969999999998</v>
      </c>
      <c r="L702" s="682" t="s">
        <v>238</v>
      </c>
      <c r="M702" s="1221" t="s">
        <v>1703</v>
      </c>
      <c r="O702" s="976">
        <v>8</v>
      </c>
      <c r="P702" s="1113" t="s">
        <v>1661</v>
      </c>
      <c r="Q702" s="1216">
        <v>50</v>
      </c>
      <c r="R702" s="1216">
        <v>100</v>
      </c>
      <c r="S702" s="1113">
        <v>15</v>
      </c>
      <c r="T702" s="1113">
        <v>15</v>
      </c>
      <c r="U702" s="1113">
        <v>69</v>
      </c>
      <c r="V702" s="1113">
        <v>12</v>
      </c>
      <c r="W702" s="1113">
        <v>10</v>
      </c>
      <c r="X702" s="1099">
        <f t="shared" si="33"/>
        <v>3.4</v>
      </c>
      <c r="Y702" s="1113">
        <f t="shared" si="41"/>
        <v>6</v>
      </c>
      <c r="Z702" s="1113">
        <f t="shared" si="42"/>
        <v>15</v>
      </c>
      <c r="AA702" s="1099">
        <f t="shared" si="34"/>
        <v>10</v>
      </c>
      <c r="AB702" s="1113">
        <v>12</v>
      </c>
      <c r="AC702" s="1113">
        <v>10</v>
      </c>
      <c r="AD702" s="1217">
        <f t="shared" si="35"/>
        <v>2.63</v>
      </c>
      <c r="AE702" s="1113">
        <f t="shared" si="43"/>
        <v>6</v>
      </c>
      <c r="AF702" s="1113">
        <f t="shared" si="44"/>
        <v>15</v>
      </c>
      <c r="AG702" s="1099">
        <f t="shared" si="36"/>
        <v>10</v>
      </c>
      <c r="AH702" s="1113">
        <v>9</v>
      </c>
      <c r="AI702" s="1113">
        <v>10</v>
      </c>
      <c r="AJ702" s="1113">
        <f t="shared" si="37"/>
        <v>1.98</v>
      </c>
      <c r="AK702" s="1113">
        <f t="shared" si="45"/>
        <v>6</v>
      </c>
      <c r="AL702" s="1113">
        <f t="shared" si="46"/>
        <v>15</v>
      </c>
      <c r="AM702" s="1099">
        <f t="shared" si="38"/>
        <v>10</v>
      </c>
      <c r="AN702" s="1113">
        <v>9</v>
      </c>
      <c r="AO702" s="1113">
        <v>10</v>
      </c>
      <c r="AP702" s="1099">
        <f t="shared" si="39"/>
        <v>1.1000000000000001</v>
      </c>
      <c r="AQ702" s="1113">
        <f t="shared" si="47"/>
        <v>6</v>
      </c>
      <c r="AR702" s="1113">
        <f t="shared" si="48"/>
        <v>15</v>
      </c>
      <c r="AS702" s="1099">
        <f t="shared" si="40"/>
        <v>10</v>
      </c>
      <c r="AT702" s="1113">
        <v>9</v>
      </c>
      <c r="AU702" s="1113">
        <v>20</v>
      </c>
      <c r="AV702" s="1099">
        <v>0.1</v>
      </c>
      <c r="AW702" s="1113">
        <v>9</v>
      </c>
      <c r="AX702" s="1113">
        <v>20</v>
      </c>
      <c r="AY702" s="1099">
        <v>0.1</v>
      </c>
      <c r="AZ702" s="1218">
        <v>0.437</v>
      </c>
      <c r="BA702" s="1218">
        <v>0.249</v>
      </c>
      <c r="BB702" s="1218">
        <f>0.875+26+19</f>
        <v>45.875</v>
      </c>
      <c r="BC702" s="1218">
        <f>0.12+0.207</f>
        <v>0.32699999999999996</v>
      </c>
      <c r="BD702" s="976">
        <v>12</v>
      </c>
      <c r="BE702" s="1113" t="s">
        <v>1687</v>
      </c>
      <c r="BF702" s="1217">
        <f>IF(V$703=$BD702,X$704,0)</f>
        <v>0</v>
      </c>
      <c r="BG702" s="1217">
        <f>IF(Y$703=$BD702,AA$704,0)</f>
        <v>0</v>
      </c>
      <c r="BH702" s="1217">
        <f>IF(AB$703=$BD702,AD$704,0)</f>
        <v>0</v>
      </c>
      <c r="BI702" s="1217">
        <f>IF(AE$703=$BD702,AG$704,0)</f>
        <v>0</v>
      </c>
      <c r="BJ702" s="1217">
        <f>IF(AH$703=$BD702,AJ$704,0)</f>
        <v>0</v>
      </c>
      <c r="BK702" s="1217">
        <f>IF(AK$703=$BD702,AM$704,0)</f>
        <v>0</v>
      </c>
      <c r="BL702" s="1217">
        <f>IF(AN$703=$BD702,AP$704,0)</f>
        <v>0</v>
      </c>
      <c r="BM702" s="1217">
        <f>IF(AQ$703=$BD702,AS$704,0)</f>
        <v>0</v>
      </c>
      <c r="BN702" s="1217">
        <f>IF(AT$703=$BD702,AV$704,0)</f>
        <v>0</v>
      </c>
      <c r="BO702" s="1217">
        <f>IF(AW$703=$BD702,AY$704,0)</f>
        <v>0</v>
      </c>
      <c r="BP702" s="1217">
        <f>SUM(BF702:BI702,BL702:BN702)</f>
        <v>0</v>
      </c>
      <c r="BQ702" s="1220">
        <v>0.1</v>
      </c>
      <c r="BR702" s="1217">
        <f>ROUNDDOWN(FIXED(0.785*0.25*PI()*(BD702/10)^2,3)*BP702*(1+BQ702),2)</f>
        <v>0</v>
      </c>
      <c r="BS702" s="1217">
        <f>SUM(BJ702:BK702,BO702)</f>
        <v>0</v>
      </c>
      <c r="BT702" s="1220">
        <v>0.01</v>
      </c>
      <c r="BU702" s="1217">
        <f>ROUNDDOWN(FIXED(0.785*0.25*PI()*(BD702/10)^2,3)*BS702*(1+BT702),2)</f>
        <v>0</v>
      </c>
    </row>
    <row r="703" spans="1:73" hidden="1">
      <c r="A703" s="1003"/>
      <c r="B703" s="999"/>
      <c r="C703" s="1172" t="s">
        <v>257</v>
      </c>
      <c r="D703" s="1011"/>
      <c r="E703" s="1011"/>
      <c r="F703" s="1012">
        <f>F702*0.025</f>
        <v>9.3522499999999997</v>
      </c>
      <c r="G703" s="1178" t="s">
        <v>242</v>
      </c>
      <c r="H703" s="1011">
        <f>ข้อมูลแหล่งราคาวัสดุ!D54</f>
        <v>19.739999999999998</v>
      </c>
      <c r="I703" s="1016" t="s">
        <v>238</v>
      </c>
      <c r="J703" s="1016" t="s">
        <v>190</v>
      </c>
      <c r="K703" s="1012">
        <f t="shared" si="32"/>
        <v>184.61341499999997</v>
      </c>
      <c r="L703" s="682" t="s">
        <v>238</v>
      </c>
      <c r="M703" s="976" t="s">
        <v>446</v>
      </c>
      <c r="O703" s="1001" t="s">
        <v>1685</v>
      </c>
      <c r="P703" s="1222" t="str">
        <f>IF(O693="none"," - ",VLOOKUP(O693,O695:BC702,2))</f>
        <v>ค-50</v>
      </c>
      <c r="Q703" s="1001">
        <f>IF(O693="none"," - ",VLOOKUP(O693,O695:BC702,3))</f>
        <v>50</v>
      </c>
      <c r="R703" s="1001">
        <f>IF(O693="none"," - ",VLOOKUP(O693,O695:BC702,4))</f>
        <v>70</v>
      </c>
      <c r="S703" s="1001">
        <f>IF(O693="none"," - ",VLOOKUP(O693,O695:BC702,5))</f>
        <v>12</v>
      </c>
      <c r="T703" s="1001">
        <f>IF(O693="none"," - ",VLOOKUP(O693,O695:BC702,6))</f>
        <v>15</v>
      </c>
      <c r="U703" s="1001">
        <f>IF(O693="none"," - ",VLOOKUP(O693,O695:BC702,7))</f>
        <v>63</v>
      </c>
      <c r="V703" s="1001">
        <f>IF(O693="none"," - ",VLOOKUP(O693,O695:BC702,8))</f>
        <v>9</v>
      </c>
      <c r="W703" s="1001">
        <f>IF(O693="none"," - ",VLOOKUP(O693,O695:BC702,9))</f>
        <v>10</v>
      </c>
      <c r="X703" s="1210">
        <f>IF(O693="none"," - ",VLOOKUP(O693,O695:BC702,10))</f>
        <v>2.68</v>
      </c>
      <c r="Y703" s="1001">
        <f>IF(O693="none"," - ",VLOOKUP(O693,O695:BC702,11))</f>
        <v>6</v>
      </c>
      <c r="Z703" s="1001">
        <f>IF(O693="none"," - ",VLOOKUP(O693,O695:BC702,12))</f>
        <v>20</v>
      </c>
      <c r="AA703" s="1210">
        <f>IF(O693="none"," - ",VLOOKUP(O693,O695:BC702,13))</f>
        <v>10</v>
      </c>
      <c r="AB703" s="1001">
        <f>IF(O693="none"," - ",VLOOKUP(O693,O695:BC702,14))</f>
        <v>9</v>
      </c>
      <c r="AC703" s="1001">
        <f>IF(O693="none"," - ",VLOOKUP(O693,O695:BC702,15))</f>
        <v>10</v>
      </c>
      <c r="AD703" s="1001">
        <f>IF(O693="none"," - ",VLOOKUP(O693,O695:BC702,16))</f>
        <v>1.97</v>
      </c>
      <c r="AE703" s="1001">
        <f>IF(O693="none"," - ",VLOOKUP(O693,O695:BC702,17))</f>
        <v>6</v>
      </c>
      <c r="AF703" s="1001">
        <f>IF(O693="none"," - ",VLOOKUP(O693,O695:BC702,18))</f>
        <v>20</v>
      </c>
      <c r="AG703" s="1210">
        <f>IF(O693="none"," - ",VLOOKUP(O693,O695:BC702,19))</f>
        <v>10</v>
      </c>
      <c r="AH703" s="1001">
        <f>IF(O693="none"," - ",VLOOKUP(O693,O695:BC702,20))</f>
        <v>9</v>
      </c>
      <c r="AI703" s="1001">
        <f>IF(O693="none"," - ",VLOOKUP(O693,O695:BC702,21))</f>
        <v>10</v>
      </c>
      <c r="AJ703" s="1001">
        <f>IF(O693="none"," - ",VLOOKUP(O693,O695:BC702,22))</f>
        <v>1.86</v>
      </c>
      <c r="AK703" s="1001">
        <f>IF(O693="none"," - ",VLOOKUP(O693,O695:BC702,23))</f>
        <v>6</v>
      </c>
      <c r="AL703" s="1001">
        <f>IF(O693="none"," - ",VLOOKUP(O693,O695:BC702,24))</f>
        <v>15</v>
      </c>
      <c r="AM703" s="1210">
        <f>IF(O693="none"," - ",VLOOKUP(O693,O695:BC702,25))</f>
        <v>10</v>
      </c>
      <c r="AN703" s="1001">
        <f>IF(O693="none"," - ",VLOOKUP(O693,O695:BC702,26))</f>
        <v>9</v>
      </c>
      <c r="AO703" s="1001">
        <f>IF(O693="none"," - ",VLOOKUP(O693,O695:BC702,27))</f>
        <v>10</v>
      </c>
      <c r="AP703" s="1210">
        <f>IF(O693="none"," - ",VLOOKUP(O693,O695:BC702,28))</f>
        <v>0.98</v>
      </c>
      <c r="AQ703" s="1001">
        <f>IF(O693="none"," - ",VLOOKUP(O693,O695:BC702,29))</f>
        <v>6</v>
      </c>
      <c r="AR703" s="1001">
        <f>IF(O693="none"," - ",VLOOKUP(O693,O695:BC702,30))</f>
        <v>20</v>
      </c>
      <c r="AS703" s="1210">
        <f>IF(O693="none"," - ",VLOOKUP(O693,O695:BC702,31))</f>
        <v>10</v>
      </c>
      <c r="AT703" s="1001">
        <f>IF(O693="none"," - ",VLOOKUP(O693,O695:BC702,32))</f>
        <v>9</v>
      </c>
      <c r="AU703" s="1001">
        <f>IF(O693="none"," - ",VLOOKUP(O693,O695:BC702,33))</f>
        <v>20</v>
      </c>
      <c r="AV703" s="1210">
        <f>IF(O693="none"," - ",VLOOKUP(O693,O695:BC702,34))</f>
        <v>0.1</v>
      </c>
      <c r="AW703" s="1001">
        <f>IF(O693="none"," - ",VLOOKUP(O693,O695:BC702,35))</f>
        <v>9</v>
      </c>
      <c r="AX703" s="1001">
        <f>IF(O693="none"," - ",VLOOKUP(O693,O695:BC702,36))</f>
        <v>20</v>
      </c>
      <c r="AY703" s="1210">
        <f>IF(O693="none"," - ",VLOOKUP(O693,O695:BC702,37))</f>
        <v>0.1</v>
      </c>
      <c r="AZ703" s="1223">
        <f>IF(O693="none"," - ",VLOOKUP(O693,O695:BC702,38))</f>
        <v>0.27400000000000002</v>
      </c>
      <c r="BA703" s="1223">
        <f>IF(O693="none"," - ",VLOOKUP(O693,O695:BC702,39))</f>
        <v>0.22500000000000001</v>
      </c>
      <c r="BB703" s="1223">
        <f>IF(O693="none"," - ",VLOOKUP(O693,O695:BC702,40))</f>
        <v>32.948</v>
      </c>
      <c r="BC703" s="1223">
        <f>IF(O693="none"," - ",VLOOKUP(O693,O695:BC702,41))</f>
        <v>0.309</v>
      </c>
      <c r="BR703" s="1217">
        <f>SUM(BR700:BR702)</f>
        <v>374.09</v>
      </c>
      <c r="BU703" s="1217">
        <f>SUM(BU700:BU702)</f>
        <v>128.09</v>
      </c>
    </row>
    <row r="704" spans="1:73" hidden="1">
      <c r="A704" s="1003"/>
      <c r="B704" s="999"/>
      <c r="C704" s="1172" t="s">
        <v>853</v>
      </c>
      <c r="D704" s="1011"/>
      <c r="E704" s="1011"/>
      <c r="F704" s="1012">
        <f>2*4.43*F692</f>
        <v>88.6</v>
      </c>
      <c r="G704" s="1178" t="s">
        <v>242</v>
      </c>
      <c r="H704" s="1206">
        <f>520/26.58</f>
        <v>19.563581640331076</v>
      </c>
      <c r="I704" s="1016" t="s">
        <v>238</v>
      </c>
      <c r="J704" s="1016" t="s">
        <v>190</v>
      </c>
      <c r="K704" s="1012">
        <f t="shared" si="32"/>
        <v>1733.3333333333333</v>
      </c>
      <c r="L704" s="682" t="s">
        <v>238</v>
      </c>
      <c r="M704" s="976" t="s">
        <v>447</v>
      </c>
      <c r="U704" s="738" t="s">
        <v>1688</v>
      </c>
      <c r="V704" s="1224" t="str">
        <f>V693</f>
        <v>A</v>
      </c>
      <c r="W704" s="1225" t="str">
        <f>X694</f>
        <v>L (ม.)</v>
      </c>
      <c r="X704" s="1226">
        <f>ROUNDDOWN(W691/(W703/100)*X703,1)</f>
        <v>268</v>
      </c>
      <c r="Y704" s="1224" t="str">
        <f>Y693</f>
        <v>Temp Bar A</v>
      </c>
      <c r="Z704" s="1225" t="str">
        <f>AA694</f>
        <v>L (ม.)</v>
      </c>
      <c r="AA704" s="1226">
        <f>ROUNDDOWN(2*((T703+R703)/Z703)*AA703,1)</f>
        <v>85</v>
      </c>
      <c r="AB704" s="1224" t="str">
        <f>AB693</f>
        <v>B</v>
      </c>
      <c r="AC704" s="1225" t="str">
        <f>AD694</f>
        <v>L (ม.)</v>
      </c>
      <c r="AD704" s="1226">
        <f>ROUNDDOWN(W691/(AC703/100)*AD703,1)</f>
        <v>197</v>
      </c>
      <c r="AE704" s="1224" t="str">
        <f>AE693</f>
        <v>Temp Bar B</v>
      </c>
      <c r="AF704" s="1225" t="str">
        <f>AG694</f>
        <v>L (ม.)</v>
      </c>
      <c r="AG704" s="1226">
        <f>ROUNDDOWN(2*((T703+R703)/AF703)*AG703,1)</f>
        <v>85</v>
      </c>
      <c r="AH704" s="1224" t="str">
        <f>AH693</f>
        <v>C</v>
      </c>
      <c r="AI704" s="1225" t="str">
        <f>AJ694</f>
        <v>L (ม.)</v>
      </c>
      <c r="AJ704" s="1226">
        <f>ROUNDDOWN(W691/(AI703/100)*AJ703,1)</f>
        <v>186</v>
      </c>
      <c r="AK704" s="1224" t="str">
        <f>AK693</f>
        <v>Temp Bar C</v>
      </c>
      <c r="AL704" s="1225" t="str">
        <f>AM694</f>
        <v>L (ม.)</v>
      </c>
      <c r="AM704" s="1226">
        <f>ROUNDDOWN(2*((U703)/AL703)*AM703,1)</f>
        <v>84</v>
      </c>
      <c r="AN704" s="1224" t="str">
        <f>AN693</f>
        <v>D</v>
      </c>
      <c r="AO704" s="1225" t="str">
        <f>AP694</f>
        <v>L (ม.)</v>
      </c>
      <c r="AP704" s="1226">
        <f>ROUNDDOWN(W691/(AO703/100)*AP703,1)</f>
        <v>98</v>
      </c>
      <c r="AQ704" s="1224" t="str">
        <f>AQ693</f>
        <v>Temp Bar D</v>
      </c>
      <c r="AR704" s="1225" t="str">
        <f>AS694</f>
        <v>L (ม.)</v>
      </c>
      <c r="AS704" s="1226">
        <f>ROUNDDOWN(2*((S703+Q703+S703)/AR703)*AS703,1)</f>
        <v>74</v>
      </c>
      <c r="AT704" s="1227" t="str">
        <f>AT693</f>
        <v>เสริมพิเศษรางระบายน้ำ</v>
      </c>
      <c r="AU704" s="1226"/>
      <c r="AV704" s="1226">
        <f>ROUNDDOWN(2*W691/(AU703/100)*AV703,1)</f>
        <v>10</v>
      </c>
      <c r="AW704" s="1227" t="str">
        <f>AW693</f>
        <v>เสริมพิเศษฝาปิด</v>
      </c>
      <c r="AX704" s="1226"/>
      <c r="AY704" s="1226">
        <f>ROUNDDOWN(2*W691/(AX703/100)*AY703,1)</f>
        <v>10</v>
      </c>
      <c r="AZ704" s="1228">
        <f>AZ703</f>
        <v>0.27400000000000002</v>
      </c>
      <c r="BA704" s="1228">
        <f>BA703</f>
        <v>0.22500000000000001</v>
      </c>
      <c r="BB704" s="1228">
        <f>ROUNDDOWN(BB703,2)</f>
        <v>32.94</v>
      </c>
      <c r="BC704" s="1228">
        <f>ROUNDDOWN(BC703,2)</f>
        <v>0.3</v>
      </c>
    </row>
    <row r="705" spans="1:14" hidden="1">
      <c r="A705" s="1003"/>
      <c r="B705" s="999"/>
      <c r="C705" s="1172" t="str">
        <f>"ฝาปิดรางระบายน้ำ ชนิด "&amp;H691</f>
        <v>ฝาปิดรางระบายน้ำ ชนิด ค-50</v>
      </c>
      <c r="D705" s="1011"/>
      <c r="E705" s="1011"/>
      <c r="F705" s="1012">
        <f>F692/0.4</f>
        <v>25</v>
      </c>
      <c r="G705" s="1178" t="s">
        <v>851</v>
      </c>
      <c r="H705" s="1011">
        <f>K719</f>
        <v>340.65250333333336</v>
      </c>
      <c r="I705" s="1016" t="s">
        <v>238</v>
      </c>
      <c r="J705" s="1016" t="s">
        <v>190</v>
      </c>
      <c r="K705" s="1012">
        <f t="shared" si="32"/>
        <v>8516.3125833333343</v>
      </c>
      <c r="L705" s="682" t="s">
        <v>238</v>
      </c>
      <c r="M705" s="976" t="s">
        <v>380</v>
      </c>
    </row>
    <row r="706" spans="1:14" hidden="1">
      <c r="A706" s="1003"/>
      <c r="B706" s="999"/>
      <c r="C706" s="682" t="s">
        <v>195</v>
      </c>
      <c r="D706" s="1011"/>
      <c r="E706" s="1011"/>
      <c r="F706" s="1012"/>
      <c r="G706" s="1011"/>
      <c r="H706" s="1011"/>
      <c r="I706" s="807"/>
      <c r="J706" s="1016" t="s">
        <v>190</v>
      </c>
      <c r="K706" s="1229">
        <f>SUM(K693:K705)</f>
        <v>40441.665331666663</v>
      </c>
      <c r="L706" s="682" t="s">
        <v>238</v>
      </c>
      <c r="M706" s="976" t="s">
        <v>1704</v>
      </c>
    </row>
    <row r="707" spans="1:14" hidden="1">
      <c r="A707" s="1003"/>
      <c r="B707" s="999"/>
      <c r="C707" s="1172" t="s">
        <v>400</v>
      </c>
      <c r="D707" s="1011"/>
      <c r="E707" s="1011"/>
      <c r="F707" s="1012">
        <f>K706</f>
        <v>40441.665331666663</v>
      </c>
      <c r="G707" s="1016" t="s">
        <v>241</v>
      </c>
      <c r="H707" s="1011">
        <f>F692</f>
        <v>10</v>
      </c>
      <c r="I707" s="667"/>
      <c r="J707" s="1016" t="s">
        <v>190</v>
      </c>
      <c r="K707" s="1229">
        <f>F707/H707</f>
        <v>4044.1665331666663</v>
      </c>
      <c r="L707" s="682" t="s">
        <v>593</v>
      </c>
      <c r="N707" s="976" t="s">
        <v>1705</v>
      </c>
    </row>
    <row r="708" spans="1:14" ht="22.5" hidden="1" thickBot="1">
      <c r="A708" s="1003"/>
      <c r="B708" s="999"/>
      <c r="C708" s="1172" t="s">
        <v>266</v>
      </c>
      <c r="D708" s="1011"/>
      <c r="E708" s="1011"/>
      <c r="F708" s="667"/>
      <c r="G708" s="1011"/>
      <c r="H708" s="1011"/>
      <c r="I708" s="667"/>
      <c r="J708" s="1016" t="s">
        <v>190</v>
      </c>
      <c r="K708" s="1230">
        <f>ROUNDDOWN(K707,1)</f>
        <v>4044.1</v>
      </c>
      <c r="L708" s="682" t="s">
        <v>593</v>
      </c>
      <c r="N708" s="976" t="s">
        <v>1706</v>
      </c>
    </row>
    <row r="709" spans="1:14" ht="22.5" hidden="1" thickTop="1">
      <c r="A709" s="1003"/>
      <c r="B709" s="999"/>
      <c r="C709" s="1172"/>
      <c r="D709" s="1011"/>
      <c r="E709" s="1011"/>
      <c r="F709" s="667"/>
      <c r="G709" s="1011"/>
      <c r="H709" s="1011"/>
      <c r="I709" s="667"/>
      <c r="J709" s="1016"/>
      <c r="K709" s="837"/>
      <c r="L709" s="682"/>
    </row>
    <row r="710" spans="1:14" hidden="1">
      <c r="A710" s="1003"/>
      <c r="B710" s="999"/>
      <c r="C710" s="1231" t="s">
        <v>852</v>
      </c>
      <c r="D710" s="1011"/>
      <c r="E710" s="1232" t="s">
        <v>1701</v>
      </c>
      <c r="F710" s="1233">
        <f>T703/100</f>
        <v>0.15</v>
      </c>
      <c r="G710" s="1234" t="s">
        <v>17</v>
      </c>
      <c r="H710" s="1011"/>
      <c r="I710" s="667"/>
      <c r="J710" s="1011"/>
      <c r="K710" s="1012"/>
      <c r="L710" s="682"/>
      <c r="M710" s="976" t="s">
        <v>193</v>
      </c>
    </row>
    <row r="711" spans="1:14" hidden="1">
      <c r="A711" s="1003"/>
      <c r="B711" s="999"/>
      <c r="C711" s="1172" t="s">
        <v>253</v>
      </c>
      <c r="D711" s="1011"/>
      <c r="E711" s="1011"/>
      <c r="F711" s="1012">
        <f>BA704*F710</f>
        <v>3.3750000000000002E-2</v>
      </c>
      <c r="G711" s="888" t="s">
        <v>251</v>
      </c>
      <c r="H711" s="1011">
        <f>IF(F696=0,0,M1279)</f>
        <v>2171</v>
      </c>
      <c r="I711" s="1016" t="s">
        <v>238</v>
      </c>
      <c r="J711" s="1016" t="s">
        <v>190</v>
      </c>
      <c r="K711" s="1012">
        <f>F711*H711</f>
        <v>73.271250000000009</v>
      </c>
      <c r="L711" s="682" t="s">
        <v>238</v>
      </c>
      <c r="M711" s="976" t="s">
        <v>234</v>
      </c>
    </row>
    <row r="712" spans="1:14" hidden="1">
      <c r="A712" s="1003"/>
      <c r="B712" s="999"/>
      <c r="C712" s="1172" t="s">
        <v>260</v>
      </c>
      <c r="D712" s="1011"/>
      <c r="E712" s="1011"/>
      <c r="F712" s="1012">
        <f>BC704</f>
        <v>0.3</v>
      </c>
      <c r="G712" s="1178" t="s">
        <v>255</v>
      </c>
      <c r="H712" s="1011">
        <f>K1471</f>
        <v>227</v>
      </c>
      <c r="I712" s="1016" t="s">
        <v>238</v>
      </c>
      <c r="J712" s="1016" t="s">
        <v>190</v>
      </c>
      <c r="K712" s="1012">
        <f t="shared" ref="K712:K718" si="49">F712*H712</f>
        <v>68.099999999999994</v>
      </c>
      <c r="L712" s="682" t="s">
        <v>238</v>
      </c>
      <c r="M712" s="976" t="s">
        <v>239</v>
      </c>
    </row>
    <row r="713" spans="1:14" hidden="1">
      <c r="A713" s="1003"/>
      <c r="B713" s="999"/>
      <c r="C713" s="1172" t="s">
        <v>5</v>
      </c>
      <c r="D713" s="1011"/>
      <c r="E713" s="1011"/>
      <c r="F713" s="1012"/>
      <c r="G713" s="1011"/>
      <c r="H713" s="1011"/>
      <c r="I713" s="667"/>
      <c r="J713" s="1011"/>
      <c r="K713" s="1012"/>
      <c r="L713" s="682"/>
    </row>
    <row r="714" spans="1:14" hidden="1">
      <c r="A714" s="1003"/>
      <c r="B714" s="999"/>
      <c r="C714" s="1172" t="s">
        <v>261</v>
      </c>
      <c r="D714" s="1011"/>
      <c r="E714" s="1011"/>
      <c r="F714" s="1012">
        <f>ROUNDDOWN((BU700/F692)*0.4,2)</f>
        <v>0.82</v>
      </c>
      <c r="G714" s="1178" t="s">
        <v>242</v>
      </c>
      <c r="H714" s="1011">
        <f>J1314</f>
        <v>22.41</v>
      </c>
      <c r="I714" s="1016" t="s">
        <v>238</v>
      </c>
      <c r="J714" s="1016" t="s">
        <v>190</v>
      </c>
      <c r="K714" s="1012">
        <f t="shared" si="49"/>
        <v>18.376200000000001</v>
      </c>
      <c r="L714" s="682" t="s">
        <v>238</v>
      </c>
      <c r="M714" s="976" t="s">
        <v>244</v>
      </c>
    </row>
    <row r="715" spans="1:14" hidden="1">
      <c r="A715" s="1003"/>
      <c r="B715" s="999"/>
      <c r="C715" s="1172" t="s">
        <v>256</v>
      </c>
      <c r="D715" s="1011"/>
      <c r="E715" s="1011"/>
      <c r="F715" s="1012">
        <f>ROUNDDOWN((BU701/F692)*0.4,2)</f>
        <v>4.3</v>
      </c>
      <c r="G715" s="1178" t="s">
        <v>242</v>
      </c>
      <c r="H715" s="1011">
        <f>J1322</f>
        <v>21.43</v>
      </c>
      <c r="I715" s="1016" t="s">
        <v>238</v>
      </c>
      <c r="J715" s="1016" t="s">
        <v>190</v>
      </c>
      <c r="K715" s="1012">
        <f t="shared" si="49"/>
        <v>92.149000000000001</v>
      </c>
      <c r="L715" s="682" t="s">
        <v>238</v>
      </c>
      <c r="M715" s="976" t="s">
        <v>236</v>
      </c>
    </row>
    <row r="716" spans="1:14" hidden="1">
      <c r="A716" s="1003"/>
      <c r="B716" s="999"/>
      <c r="C716" s="1172" t="s">
        <v>8</v>
      </c>
      <c r="D716" s="1011"/>
      <c r="E716" s="1011"/>
      <c r="F716" s="1012">
        <f>SUM(F714:F715)</f>
        <v>5.12</v>
      </c>
      <c r="G716" s="1178" t="s">
        <v>242</v>
      </c>
      <c r="H716" s="1011">
        <f>ROUNDDOWN(IF(F716=0,0,IF(F716/1000&gt;100,2900/1000,3300/1000)),2)</f>
        <v>3.3</v>
      </c>
      <c r="I716" s="1016" t="s">
        <v>238</v>
      </c>
      <c r="J716" s="1016" t="s">
        <v>190</v>
      </c>
      <c r="K716" s="1012">
        <f t="shared" si="49"/>
        <v>16.896000000000001</v>
      </c>
      <c r="L716" s="682" t="s">
        <v>238</v>
      </c>
      <c r="M716" s="1221" t="s">
        <v>1708</v>
      </c>
    </row>
    <row r="717" spans="1:14" hidden="1">
      <c r="A717" s="1003"/>
      <c r="B717" s="999"/>
      <c r="C717" s="1172" t="s">
        <v>257</v>
      </c>
      <c r="D717" s="1011"/>
      <c r="E717" s="1011"/>
      <c r="F717" s="1012">
        <f>F716*0.025</f>
        <v>0.128</v>
      </c>
      <c r="G717" s="1178" t="s">
        <v>242</v>
      </c>
      <c r="H717" s="1011">
        <f>ข้อมูลแหล่งราคาวัสดุ!D54</f>
        <v>19.739999999999998</v>
      </c>
      <c r="I717" s="1016" t="s">
        <v>238</v>
      </c>
      <c r="J717" s="1016" t="s">
        <v>190</v>
      </c>
      <c r="K717" s="1012">
        <f t="shared" si="49"/>
        <v>2.5267199999999996</v>
      </c>
      <c r="L717" s="682" t="s">
        <v>238</v>
      </c>
      <c r="M717" s="976" t="s">
        <v>246</v>
      </c>
    </row>
    <row r="718" spans="1:14" hidden="1">
      <c r="A718" s="1003"/>
      <c r="B718" s="999"/>
      <c r="C718" s="1172" t="s">
        <v>853</v>
      </c>
      <c r="D718" s="1011"/>
      <c r="E718" s="1011"/>
      <c r="F718" s="1012">
        <f>2*4.43*0.4</f>
        <v>3.544</v>
      </c>
      <c r="G718" s="1178" t="s">
        <v>242</v>
      </c>
      <c r="H718" s="1206">
        <f>H704</f>
        <v>19.563581640331076</v>
      </c>
      <c r="I718" s="1016" t="s">
        <v>238</v>
      </c>
      <c r="J718" s="1016" t="s">
        <v>190</v>
      </c>
      <c r="K718" s="1012">
        <f t="shared" si="49"/>
        <v>69.333333333333329</v>
      </c>
      <c r="L718" s="682" t="s">
        <v>238</v>
      </c>
      <c r="M718" s="976" t="s">
        <v>247</v>
      </c>
    </row>
    <row r="719" spans="1:14" hidden="1">
      <c r="A719" s="1003"/>
      <c r="B719" s="999"/>
      <c r="C719" s="682" t="s">
        <v>195</v>
      </c>
      <c r="D719" s="1011"/>
      <c r="E719" s="1011"/>
      <c r="F719" s="667"/>
      <c r="G719" s="1011"/>
      <c r="H719" s="1011"/>
      <c r="I719" s="667"/>
      <c r="J719" s="1016" t="s">
        <v>190</v>
      </c>
      <c r="K719" s="1012">
        <f>SUM(K711:K718)</f>
        <v>340.65250333333336</v>
      </c>
      <c r="L719" s="682" t="s">
        <v>854</v>
      </c>
      <c r="N719" s="976" t="s">
        <v>1707</v>
      </c>
    </row>
    <row r="720" spans="1:14" hidden="1">
      <c r="A720" s="1003"/>
      <c r="B720" s="999"/>
    </row>
    <row r="721" spans="1:13" hidden="1">
      <c r="A721" s="1003"/>
      <c r="B721" s="1061" t="str">
        <f>ปร.4_1!C75</f>
        <v>4.1.4</v>
      </c>
      <c r="C721" s="1002" t="str">
        <f>ปร.4_1!D75</f>
        <v>งานบ่อรับน้ำ คสล.</v>
      </c>
    </row>
    <row r="722" spans="1:13" hidden="1">
      <c r="A722" s="1003"/>
      <c r="B722" s="1061" t="str">
        <f>ปร.4_1!C76</f>
        <v>4.1.4(1)</v>
      </c>
      <c r="C722" s="665" t="s">
        <v>1857</v>
      </c>
      <c r="D722" s="574"/>
      <c r="E722" s="574"/>
      <c r="F722" s="574"/>
      <c r="G722" s="574"/>
      <c r="H722" s="574"/>
      <c r="I722" s="574"/>
      <c r="J722" s="574"/>
      <c r="K722" s="574"/>
      <c r="L722" s="574"/>
      <c r="M722" s="574"/>
    </row>
    <row r="723" spans="1:13" hidden="1">
      <c r="A723" s="1003"/>
      <c r="B723" s="999"/>
      <c r="C723" s="682" t="s">
        <v>517</v>
      </c>
      <c r="D723" s="1235"/>
      <c r="E723" s="1235"/>
      <c r="F723" s="1236">
        <v>0.26</v>
      </c>
      <c r="G723" s="1235" t="s">
        <v>251</v>
      </c>
      <c r="H723" s="997">
        <f>M1196</f>
        <v>1948</v>
      </c>
      <c r="I723" s="1024" t="s">
        <v>238</v>
      </c>
      <c r="J723" s="1016" t="s">
        <v>190</v>
      </c>
      <c r="K723" s="1237">
        <f>F723*H723</f>
        <v>506.48</v>
      </c>
      <c r="L723" s="684" t="s">
        <v>238</v>
      </c>
      <c r="M723" s="976" t="s">
        <v>193</v>
      </c>
    </row>
    <row r="724" spans="1:13" hidden="1">
      <c r="A724" s="1003"/>
      <c r="B724" s="999"/>
      <c r="C724" s="682" t="s">
        <v>253</v>
      </c>
      <c r="D724" s="1235"/>
      <c r="E724" s="1235"/>
      <c r="F724" s="1236">
        <v>0.65</v>
      </c>
      <c r="G724" s="1235" t="s">
        <v>251</v>
      </c>
      <c r="H724" s="997">
        <f>M1216</f>
        <v>2262</v>
      </c>
      <c r="I724" s="1024" t="s">
        <v>238</v>
      </c>
      <c r="J724" s="1016" t="s">
        <v>190</v>
      </c>
      <c r="K724" s="1237">
        <f>F724*H724</f>
        <v>1470.3</v>
      </c>
      <c r="L724" s="684" t="s">
        <v>238</v>
      </c>
      <c r="M724" s="976" t="s">
        <v>234</v>
      </c>
    </row>
    <row r="725" spans="1:13" hidden="1">
      <c r="A725" s="1003"/>
      <c r="B725" s="999"/>
      <c r="C725" s="682" t="s">
        <v>260</v>
      </c>
      <c r="D725" s="1235"/>
      <c r="E725" s="1235"/>
      <c r="F725" s="1236">
        <v>11.7</v>
      </c>
      <c r="G725" s="1235" t="s">
        <v>255</v>
      </c>
      <c r="H725" s="997">
        <f>K1471</f>
        <v>227</v>
      </c>
      <c r="I725" s="1024" t="s">
        <v>238</v>
      </c>
      <c r="J725" s="1016" t="s">
        <v>190</v>
      </c>
      <c r="K725" s="1237">
        <f>F725*H725</f>
        <v>2655.8999999999996</v>
      </c>
      <c r="L725" s="684" t="s">
        <v>238</v>
      </c>
      <c r="M725" s="976" t="s">
        <v>239</v>
      </c>
    </row>
    <row r="726" spans="1:13" hidden="1">
      <c r="A726" s="1003"/>
      <c r="B726" s="999"/>
      <c r="C726" s="682" t="s">
        <v>5</v>
      </c>
      <c r="D726" s="1235"/>
      <c r="E726" s="1235"/>
      <c r="F726" s="1236"/>
      <c r="G726" s="1235"/>
      <c r="I726" s="1024"/>
      <c r="J726" s="1016"/>
      <c r="K726" s="1237"/>
      <c r="L726" s="684"/>
    </row>
    <row r="727" spans="1:13" hidden="1">
      <c r="A727" s="1003"/>
      <c r="B727" s="999"/>
      <c r="C727" s="682" t="s">
        <v>261</v>
      </c>
      <c r="D727" s="1235"/>
      <c r="E727" s="1235"/>
      <c r="F727" s="1236">
        <v>27.45</v>
      </c>
      <c r="G727" s="1235" t="s">
        <v>242</v>
      </c>
      <c r="H727" s="997">
        <f>J1314</f>
        <v>22.41</v>
      </c>
      <c r="I727" s="1024" t="s">
        <v>238</v>
      </c>
      <c r="J727" s="1016" t="s">
        <v>190</v>
      </c>
      <c r="K727" s="1237">
        <f>F727*H727</f>
        <v>615.15449999999998</v>
      </c>
      <c r="L727" s="684" t="s">
        <v>238</v>
      </c>
      <c r="M727" s="976" t="s">
        <v>244</v>
      </c>
    </row>
    <row r="728" spans="1:13" hidden="1">
      <c r="A728" s="1003"/>
      <c r="B728" s="999"/>
      <c r="C728" s="682" t="s">
        <v>8</v>
      </c>
      <c r="D728" s="1235"/>
      <c r="E728" s="1235"/>
      <c r="F728" s="1236">
        <f>F727</f>
        <v>27.45</v>
      </c>
      <c r="G728" s="1235" t="s">
        <v>242</v>
      </c>
      <c r="H728" s="1011">
        <f>ROUNDDOWN(IF(F728=0,0,IF(F728/1000&gt;100,2900/1000,3300/1000)),2)</f>
        <v>3.3</v>
      </c>
      <c r="I728" s="1024" t="s">
        <v>238</v>
      </c>
      <c r="J728" s="1016" t="s">
        <v>190</v>
      </c>
      <c r="K728" s="1237">
        <f>F728*H728</f>
        <v>90.584999999999994</v>
      </c>
      <c r="L728" s="684" t="s">
        <v>238</v>
      </c>
      <c r="M728" s="976" t="s">
        <v>518</v>
      </c>
    </row>
    <row r="729" spans="1:13" hidden="1">
      <c r="A729" s="1003"/>
      <c r="B729" s="999"/>
      <c r="C729" s="682" t="s">
        <v>257</v>
      </c>
      <c r="D729" s="1235"/>
      <c r="E729" s="1235"/>
      <c r="F729" s="1236">
        <f>F728*0.025</f>
        <v>0.68625000000000003</v>
      </c>
      <c r="G729" s="1235" t="s">
        <v>242</v>
      </c>
      <c r="H729" s="997">
        <f>ข้อมูลแหล่งราคาวัสดุ!D54</f>
        <v>19.739999999999998</v>
      </c>
      <c r="I729" s="1024" t="s">
        <v>238</v>
      </c>
      <c r="J729" s="1016" t="s">
        <v>190</v>
      </c>
      <c r="K729" s="1237">
        <f>F729*H729</f>
        <v>13.546574999999999</v>
      </c>
      <c r="L729" s="684" t="s">
        <v>238</v>
      </c>
      <c r="M729" s="976" t="s">
        <v>249</v>
      </c>
    </row>
    <row r="730" spans="1:13" hidden="1">
      <c r="A730" s="1003"/>
      <c r="B730" s="999"/>
      <c r="C730" s="682" t="s">
        <v>195</v>
      </c>
      <c r="D730" s="1235"/>
      <c r="E730" s="1235"/>
      <c r="F730" s="1235"/>
      <c r="G730" s="1235"/>
      <c r="I730" s="1024"/>
      <c r="J730" s="1016" t="s">
        <v>190</v>
      </c>
      <c r="K730" s="1237">
        <f>SUM(K723:K729)</f>
        <v>5351.9660749999994</v>
      </c>
      <c r="L730" s="684" t="s">
        <v>238</v>
      </c>
      <c r="M730" s="976" t="s">
        <v>519</v>
      </c>
    </row>
    <row r="731" spans="1:13" hidden="1">
      <c r="A731" s="1003"/>
      <c r="B731" s="999"/>
    </row>
    <row r="732" spans="1:13" hidden="1">
      <c r="A732" s="1003"/>
      <c r="B732" s="1003">
        <f>ปร.4_1!B79</f>
        <v>4.2</v>
      </c>
      <c r="C732" s="1002" t="str">
        <f>ปร.4_1!C79</f>
        <v>งานปลูกหญ้า</v>
      </c>
    </row>
    <row r="733" spans="1:13" hidden="1">
      <c r="A733" s="1003"/>
      <c r="B733" s="1061" t="str">
        <f>ปร.4_1!C80</f>
        <v>4.2.1</v>
      </c>
      <c r="C733" s="1002" t="str">
        <f>ปร.4_1!D80</f>
        <v>แบบ ปักแถว</v>
      </c>
    </row>
    <row r="734" spans="1:13" hidden="1">
      <c r="A734" s="1003"/>
      <c r="B734" s="999"/>
      <c r="C734" s="682" t="s">
        <v>268</v>
      </c>
      <c r="D734" s="997"/>
      <c r="I734" s="1000" t="s">
        <v>190</v>
      </c>
      <c r="J734" s="997">
        <v>18</v>
      </c>
      <c r="K734" s="997" t="s">
        <v>191</v>
      </c>
    </row>
    <row r="735" spans="1:13" hidden="1">
      <c r="A735" s="1003"/>
      <c r="B735" s="999"/>
      <c r="C735" s="682" t="s">
        <v>520</v>
      </c>
      <c r="D735" s="997"/>
      <c r="I735" s="1000" t="s">
        <v>190</v>
      </c>
      <c r="J735" s="997">
        <v>5</v>
      </c>
      <c r="K735" s="997" t="s">
        <v>191</v>
      </c>
    </row>
    <row r="736" spans="1:13" hidden="1">
      <c r="A736" s="1003"/>
      <c r="B736" s="999"/>
      <c r="C736" s="682" t="s">
        <v>521</v>
      </c>
      <c r="D736" s="997"/>
      <c r="I736" s="1000" t="s">
        <v>190</v>
      </c>
      <c r="J736" s="1238" t="s">
        <v>10</v>
      </c>
      <c r="K736" s="997" t="s">
        <v>191</v>
      </c>
    </row>
    <row r="737" spans="1:79" hidden="1">
      <c r="A737" s="1003"/>
      <c r="B737" s="999"/>
      <c r="C737" s="682" t="s">
        <v>195</v>
      </c>
      <c r="D737" s="997"/>
      <c r="I737" s="1000" t="s">
        <v>190</v>
      </c>
      <c r="J737" s="997">
        <f>SUM(J734:J736)</f>
        <v>23</v>
      </c>
      <c r="K737" s="997" t="s">
        <v>191</v>
      </c>
      <c r="Y737" s="1032"/>
    </row>
    <row r="738" spans="1:79" hidden="1">
      <c r="A738" s="1003"/>
      <c r="B738" s="999"/>
    </row>
    <row r="739" spans="1:79" hidden="1">
      <c r="A739" s="1003"/>
      <c r="B739" s="1061" t="str">
        <f>ปร.4_1!C81</f>
        <v>4.2.2</v>
      </c>
      <c r="C739" s="1002" t="str">
        <f>ปร.4_1!D81</f>
        <v>แบบ ปูแผ่น</v>
      </c>
    </row>
    <row r="740" spans="1:79" hidden="1">
      <c r="A740" s="1003"/>
      <c r="B740" s="999"/>
      <c r="C740" s="682" t="s">
        <v>268</v>
      </c>
      <c r="D740" s="997"/>
      <c r="I740" s="1000" t="s">
        <v>190</v>
      </c>
      <c r="J740" s="997">
        <v>20</v>
      </c>
      <c r="K740" s="997" t="s">
        <v>191</v>
      </c>
    </row>
    <row r="741" spans="1:79" s="1032" customFormat="1" hidden="1">
      <c r="A741" s="1003"/>
      <c r="B741" s="999"/>
      <c r="C741" s="682" t="s">
        <v>520</v>
      </c>
      <c r="D741" s="997"/>
      <c r="E741" s="997"/>
      <c r="F741" s="997"/>
      <c r="G741" s="1000"/>
      <c r="H741" s="997"/>
      <c r="I741" s="1000" t="s">
        <v>190</v>
      </c>
      <c r="J741" s="997">
        <v>13</v>
      </c>
      <c r="K741" s="997" t="s">
        <v>191</v>
      </c>
      <c r="L741" s="976"/>
      <c r="M741" s="976"/>
      <c r="N741" s="976"/>
      <c r="O741" s="976"/>
      <c r="P741" s="978"/>
      <c r="Q741" s="976"/>
      <c r="R741" s="976"/>
      <c r="S741" s="978"/>
      <c r="T741" s="976"/>
      <c r="U741" s="976"/>
      <c r="V741" s="976"/>
      <c r="W741" s="976"/>
      <c r="X741" s="976"/>
      <c r="Y741" s="976"/>
      <c r="Z741" s="976"/>
      <c r="AA741" s="976"/>
      <c r="AB741" s="976"/>
      <c r="AC741" s="976"/>
      <c r="AD741" s="976"/>
      <c r="AE741" s="976"/>
      <c r="AF741" s="976"/>
      <c r="AG741" s="976"/>
      <c r="AH741" s="976"/>
      <c r="AI741" s="976"/>
      <c r="AJ741" s="976"/>
      <c r="AK741" s="976"/>
      <c r="AL741" s="976"/>
      <c r="AM741" s="976"/>
      <c r="AN741" s="976"/>
      <c r="AO741" s="976"/>
      <c r="AP741" s="976"/>
      <c r="AQ741" s="976"/>
      <c r="AR741" s="976"/>
      <c r="AS741" s="976"/>
      <c r="AT741" s="976"/>
      <c r="AU741" s="976"/>
      <c r="AV741" s="976"/>
      <c r="AW741" s="976"/>
      <c r="AX741" s="976"/>
      <c r="AY741" s="976"/>
      <c r="AZ741" s="976"/>
      <c r="BA741" s="976"/>
      <c r="BB741" s="976"/>
      <c r="BC741" s="976"/>
      <c r="BD741" s="976"/>
      <c r="BE741" s="976"/>
      <c r="BF741" s="976"/>
      <c r="BG741" s="976"/>
      <c r="BH741" s="976"/>
      <c r="BI741" s="976"/>
      <c r="BJ741" s="976"/>
      <c r="BK741" s="976"/>
      <c r="BL741" s="976"/>
      <c r="BM741" s="976"/>
      <c r="BN741" s="976"/>
      <c r="BO741" s="976"/>
      <c r="BP741" s="976"/>
      <c r="BQ741" s="976"/>
      <c r="BR741" s="976"/>
      <c r="BS741" s="976"/>
      <c r="BT741" s="976"/>
      <c r="BU741" s="976"/>
      <c r="BV741" s="976"/>
      <c r="BW741" s="976"/>
      <c r="BX741" s="976"/>
      <c r="BY741" s="976"/>
      <c r="BZ741" s="976"/>
      <c r="CA741" s="976"/>
    </row>
    <row r="742" spans="1:79" hidden="1">
      <c r="A742" s="1003"/>
      <c r="B742" s="999"/>
      <c r="C742" s="682" t="s">
        <v>521</v>
      </c>
      <c r="D742" s="997"/>
      <c r="I742" s="1000" t="s">
        <v>190</v>
      </c>
      <c r="J742" s="1238">
        <v>2</v>
      </c>
      <c r="K742" s="997" t="s">
        <v>191</v>
      </c>
      <c r="O742" s="1032"/>
      <c r="P742" s="1033"/>
      <c r="Q742" s="1032"/>
      <c r="R742" s="1032"/>
      <c r="S742" s="1033"/>
      <c r="T742" s="1032"/>
      <c r="U742" s="1032"/>
      <c r="V742" s="1032"/>
      <c r="W742" s="1032"/>
      <c r="X742" s="1032"/>
      <c r="Z742" s="1032"/>
      <c r="AA742" s="1032"/>
      <c r="AB742" s="1032"/>
      <c r="AC742" s="1032"/>
      <c r="AD742" s="1032"/>
      <c r="AE742" s="1032"/>
      <c r="AF742" s="1032"/>
      <c r="AG742" s="1032"/>
      <c r="AH742" s="1032"/>
      <c r="AI742" s="1032"/>
      <c r="AJ742" s="1032"/>
      <c r="AK742" s="1032"/>
      <c r="AL742" s="1032"/>
      <c r="AM742" s="1032"/>
      <c r="AN742" s="1032"/>
      <c r="AO742" s="1032"/>
      <c r="AP742" s="1032"/>
      <c r="AQ742" s="1032"/>
      <c r="AR742" s="1032"/>
      <c r="AS742" s="1032"/>
      <c r="AT742" s="1032"/>
      <c r="AU742" s="1032"/>
      <c r="AV742" s="1032"/>
      <c r="AW742" s="1032"/>
      <c r="AX742" s="1032"/>
      <c r="AY742" s="1032"/>
      <c r="AZ742" s="1032"/>
      <c r="BA742" s="1032"/>
      <c r="BB742" s="1032"/>
      <c r="BC742" s="1032"/>
      <c r="BD742" s="1032"/>
      <c r="BE742" s="1032"/>
      <c r="BF742" s="1032"/>
      <c r="BG742" s="1032"/>
      <c r="BH742" s="1032"/>
      <c r="BI742" s="1032"/>
      <c r="BJ742" s="1032"/>
      <c r="BK742" s="1032"/>
      <c r="BL742" s="1032"/>
      <c r="BM742" s="1032"/>
      <c r="BN742" s="1032"/>
      <c r="BO742" s="1032"/>
      <c r="BP742" s="1032"/>
      <c r="BQ742" s="1032"/>
      <c r="BR742" s="1032"/>
      <c r="BS742" s="1032"/>
      <c r="BT742" s="1032"/>
      <c r="BU742" s="1032"/>
      <c r="BV742" s="1032"/>
      <c r="BW742" s="1032"/>
      <c r="BX742" s="1032"/>
      <c r="BY742" s="1032"/>
      <c r="BZ742" s="1032"/>
      <c r="CA742" s="1032"/>
    </row>
    <row r="743" spans="1:79" hidden="1">
      <c r="A743" s="1239"/>
      <c r="B743" s="1240"/>
      <c r="C743" s="1241" t="s">
        <v>195</v>
      </c>
      <c r="D743" s="1242"/>
      <c r="E743" s="1242"/>
      <c r="F743" s="1242"/>
      <c r="G743" s="1243"/>
      <c r="H743" s="1242"/>
      <c r="I743" s="1243" t="s">
        <v>190</v>
      </c>
      <c r="J743" s="1242">
        <f>SUM(J740:J742)</f>
        <v>35</v>
      </c>
      <c r="K743" s="1242" t="s">
        <v>191</v>
      </c>
      <c r="L743" s="1032"/>
      <c r="M743" s="1032"/>
      <c r="N743" s="1032"/>
    </row>
    <row r="744" spans="1:79" hidden="1">
      <c r="A744" s="1003"/>
      <c r="B744" s="999"/>
      <c r="C744" s="843"/>
      <c r="D744" s="997"/>
      <c r="I744" s="1000"/>
    </row>
    <row r="745" spans="1:79" hidden="1">
      <c r="A745" s="1003">
        <v>5</v>
      </c>
      <c r="B745" s="999" t="str">
        <f>ปร.4_1!B84</f>
        <v>งานจราจรสงเคราะห์</v>
      </c>
      <c r="C745" s="843"/>
      <c r="D745" s="997"/>
      <c r="I745" s="1000"/>
    </row>
    <row r="746" spans="1:79" hidden="1">
      <c r="A746" s="1003"/>
      <c r="B746" s="997" t="str">
        <f>ปร.4_1!C131</f>
        <v>5.2.40</v>
      </c>
      <c r="C746" s="843" t="str">
        <f>ปร.4_1!D131</f>
        <v>ป้าย MAST  ARM พร้อมป้ายเตือนและไฟกระพริบ</v>
      </c>
      <c r="D746" s="997"/>
      <c r="I746" s="1000"/>
    </row>
    <row r="747" spans="1:79" hidden="1">
      <c r="A747" s="1003"/>
      <c r="B747" s="999"/>
      <c r="C747" s="1354" t="s">
        <v>1929</v>
      </c>
      <c r="D747" s="1042"/>
      <c r="E747" s="1042"/>
      <c r="F747" s="1042"/>
      <c r="G747" s="1042"/>
      <c r="H747" s="976"/>
      <c r="I747" s="1353" t="s">
        <v>1930</v>
      </c>
      <c r="J747" s="1045" t="s">
        <v>190</v>
      </c>
      <c r="K747" s="1355">
        <v>13837</v>
      </c>
      <c r="L747" s="686" t="s">
        <v>1931</v>
      </c>
      <c r="P747" s="976"/>
    </row>
    <row r="748" spans="1:79" hidden="1">
      <c r="A748" s="1003"/>
      <c r="B748" s="999"/>
      <c r="C748" s="1354" t="s">
        <v>1932</v>
      </c>
      <c r="D748" s="1042"/>
      <c r="E748" s="1042"/>
      <c r="F748" s="1042"/>
      <c r="G748" s="1042"/>
      <c r="H748" s="976"/>
      <c r="I748" s="1042"/>
      <c r="J748" s="1045"/>
      <c r="K748" s="1355"/>
      <c r="L748" s="686"/>
      <c r="P748" s="976"/>
    </row>
    <row r="749" spans="1:79" hidden="1">
      <c r="A749" s="1003"/>
      <c r="B749" s="999"/>
      <c r="C749" s="1354" t="s">
        <v>1933</v>
      </c>
      <c r="D749" s="1042"/>
      <c r="E749" s="1042"/>
      <c r="F749" s="1042"/>
      <c r="G749" s="1042"/>
      <c r="H749" s="976"/>
      <c r="I749" s="1353" t="s">
        <v>1934</v>
      </c>
      <c r="J749" s="1045" t="s">
        <v>190</v>
      </c>
      <c r="K749" s="1355">
        <f>2*7500</f>
        <v>15000</v>
      </c>
      <c r="L749" s="686" t="s">
        <v>615</v>
      </c>
      <c r="P749" s="976"/>
    </row>
    <row r="750" spans="1:79" hidden="1">
      <c r="A750" s="1003"/>
      <c r="B750" s="999"/>
      <c r="C750" s="1354" t="s">
        <v>1935</v>
      </c>
      <c r="D750" s="1042"/>
      <c r="E750" s="1042"/>
      <c r="F750" s="1042"/>
      <c r="G750" s="1042"/>
      <c r="H750" s="1042"/>
      <c r="I750" s="1042"/>
      <c r="J750" s="1045"/>
      <c r="K750" s="1355"/>
      <c r="L750" s="686"/>
      <c r="P750" s="976"/>
    </row>
    <row r="751" spans="1:79" hidden="1">
      <c r="A751" s="1003"/>
      <c r="B751" s="999"/>
      <c r="C751" s="1354" t="s">
        <v>1936</v>
      </c>
      <c r="D751" s="1042"/>
      <c r="E751" s="1042"/>
      <c r="F751" s="1042"/>
      <c r="G751" s="1042"/>
      <c r="H751" s="1042"/>
      <c r="I751" s="1042"/>
      <c r="J751" s="1045" t="s">
        <v>190</v>
      </c>
      <c r="K751" s="1355">
        <v>47000</v>
      </c>
      <c r="L751" s="686" t="s">
        <v>615</v>
      </c>
      <c r="P751" s="976"/>
    </row>
    <row r="752" spans="1:79" hidden="1">
      <c r="A752" s="1003"/>
      <c r="B752" s="999"/>
      <c r="C752" s="1354" t="s">
        <v>1937</v>
      </c>
      <c r="D752" s="1042"/>
      <c r="E752" s="1042"/>
      <c r="F752" s="1042"/>
      <c r="G752" s="1042"/>
      <c r="H752" s="1042"/>
      <c r="I752" s="1042"/>
      <c r="J752" s="1045"/>
      <c r="K752" s="1355"/>
      <c r="L752" s="686"/>
      <c r="P752" s="976"/>
    </row>
    <row r="753" spans="1:21" hidden="1">
      <c r="A753" s="1003"/>
      <c r="B753" s="999"/>
      <c r="C753" s="1354" t="s">
        <v>1938</v>
      </c>
      <c r="D753" s="1042"/>
      <c r="E753" s="1042"/>
      <c r="F753" s="1042"/>
      <c r="G753" s="1042"/>
      <c r="H753" s="1042"/>
      <c r="I753" s="1042"/>
      <c r="J753" s="1045" t="s">
        <v>190</v>
      </c>
      <c r="K753" s="1355">
        <f>SUM(K747:K751)</f>
        <v>75837</v>
      </c>
      <c r="L753" s="686" t="s">
        <v>615</v>
      </c>
      <c r="P753" s="976"/>
    </row>
    <row r="754" spans="1:21" hidden="1">
      <c r="A754" s="1003"/>
      <c r="B754" s="999"/>
      <c r="C754" s="1356"/>
      <c r="D754" s="1042"/>
      <c r="E754" s="1042"/>
      <c r="F754" s="1042"/>
      <c r="G754" s="1042"/>
      <c r="H754" s="1042"/>
      <c r="I754" s="1042"/>
      <c r="J754" s="1045"/>
      <c r="K754" s="1355"/>
      <c r="L754" s="1042"/>
      <c r="P754" s="976"/>
    </row>
    <row r="755" spans="1:21" hidden="1">
      <c r="B755" s="1011"/>
      <c r="C755" s="1356"/>
      <c r="D755" s="1042"/>
      <c r="E755" s="1042"/>
      <c r="F755" s="1042"/>
      <c r="G755" s="1042"/>
      <c r="H755" s="1042"/>
      <c r="I755" s="1042" t="s">
        <v>1939</v>
      </c>
      <c r="J755" s="1045" t="s">
        <v>190</v>
      </c>
      <c r="K755" s="1355">
        <f>ROUNDDOWN(K753,-3)</f>
        <v>75000</v>
      </c>
      <c r="L755" s="686" t="s">
        <v>615</v>
      </c>
      <c r="P755" s="976"/>
    </row>
    <row r="756" spans="1:21" hidden="1">
      <c r="A756" s="1001">
        <f>ปร.4_1!A143</f>
        <v>6</v>
      </c>
      <c r="B756" s="1023" t="str">
        <f>ปร.4_1!B143</f>
        <v>งานไฟฟ้าแสงสว่าง</v>
      </c>
      <c r="C756" s="1031"/>
      <c r="J756" s="1016"/>
      <c r="L756" s="1004"/>
    </row>
    <row r="757" spans="1:21" hidden="1">
      <c r="B757" s="1244">
        <f>ปร.4_1!B144</f>
        <v>6.1</v>
      </c>
      <c r="C757" s="1031" t="str">
        <f>ปร.4_1!C144</f>
        <v>งานเสาไฟฟ้าแสงสว่างและอุปกรณ์ประกอบ</v>
      </c>
      <c r="J757" s="1016"/>
      <c r="L757" s="1004"/>
    </row>
    <row r="758" spans="1:21" hidden="1">
      <c r="B758" s="1244" t="str">
        <f>ปร.4_1!C145</f>
        <v>6.1.1</v>
      </c>
      <c r="C758" s="1031" t="str">
        <f>ปร.4_1!D145</f>
        <v>เสาไฟฟ้า สูง 9.00 เมตร กิ่งเดียวพร้อมอุปกรณ์</v>
      </c>
      <c r="J758" s="1016"/>
      <c r="L758" s="1004"/>
      <c r="R758" s="976">
        <v>107</v>
      </c>
      <c r="S758" s="978">
        <v>13380.9</v>
      </c>
      <c r="T758" s="976">
        <v>107</v>
      </c>
      <c r="U758" s="978">
        <v>10249.200000000001</v>
      </c>
    </row>
    <row r="759" spans="1:21" hidden="1">
      <c r="B759" s="1011"/>
      <c r="C759" s="1148" t="s">
        <v>856</v>
      </c>
      <c r="D759" s="997"/>
      <c r="G759" s="1000">
        <v>1</v>
      </c>
      <c r="H759" s="1000" t="s">
        <v>859</v>
      </c>
      <c r="I759" s="1242">
        <v>10000</v>
      </c>
      <c r="J759" s="1204" t="s">
        <v>190</v>
      </c>
      <c r="K759" s="997">
        <f t="shared" ref="K759:K766" si="50">I759*G759</f>
        <v>10000</v>
      </c>
      <c r="L759" s="1245" t="s">
        <v>238</v>
      </c>
      <c r="M759" s="1246" t="s">
        <v>193</v>
      </c>
      <c r="R759" s="976">
        <v>100</v>
      </c>
      <c r="S759" s="978">
        <f>(S758/R758)*R759</f>
        <v>12505.514018691589</v>
      </c>
      <c r="T759" s="976">
        <v>100</v>
      </c>
      <c r="U759" s="978">
        <f>(U758/T758)*T759</f>
        <v>9578.6915887850464</v>
      </c>
    </row>
    <row r="760" spans="1:21" hidden="1">
      <c r="B760" s="1011"/>
      <c r="C760" s="1148" t="s">
        <v>872</v>
      </c>
      <c r="D760" s="997"/>
      <c r="G760" s="1000">
        <v>1</v>
      </c>
      <c r="H760" s="1000" t="s">
        <v>860</v>
      </c>
      <c r="I760" s="1242">
        <v>5050</v>
      </c>
      <c r="J760" s="1204" t="s">
        <v>190</v>
      </c>
      <c r="K760" s="997">
        <f t="shared" si="50"/>
        <v>5050</v>
      </c>
      <c r="L760" s="1245" t="s">
        <v>238</v>
      </c>
      <c r="M760" s="1246" t="s">
        <v>234</v>
      </c>
      <c r="P760" s="1033">
        <f>179.38+32</f>
        <v>211.38</v>
      </c>
      <c r="U760" s="978"/>
    </row>
    <row r="761" spans="1:21" hidden="1">
      <c r="B761" s="1011"/>
      <c r="C761" s="1148" t="s">
        <v>1858</v>
      </c>
      <c r="D761" s="997"/>
      <c r="G761" s="1243">
        <v>38</v>
      </c>
      <c r="H761" s="1000" t="s">
        <v>861</v>
      </c>
      <c r="I761" s="1242">
        <v>191</v>
      </c>
      <c r="J761" s="1204" t="s">
        <v>190</v>
      </c>
      <c r="K761" s="997">
        <f t="shared" si="50"/>
        <v>7258</v>
      </c>
      <c r="L761" s="1245" t="s">
        <v>238</v>
      </c>
      <c r="M761" s="1246" t="s">
        <v>239</v>
      </c>
      <c r="P761" s="978">
        <f>9.46+7</f>
        <v>16.46</v>
      </c>
      <c r="S761" s="978">
        <f>S759*0.8</f>
        <v>10004.411214953272</v>
      </c>
      <c r="U761" s="978">
        <f>U759*0.8</f>
        <v>7662.9532710280373</v>
      </c>
    </row>
    <row r="762" spans="1:21" hidden="1">
      <c r="B762" s="1011"/>
      <c r="C762" s="1148" t="s">
        <v>1859</v>
      </c>
      <c r="D762" s="997"/>
      <c r="G762" s="1000">
        <v>25</v>
      </c>
      <c r="H762" s="1000" t="s">
        <v>861</v>
      </c>
      <c r="I762" s="1242">
        <v>18</v>
      </c>
      <c r="J762" s="1204" t="s">
        <v>190</v>
      </c>
      <c r="K762" s="997">
        <f t="shared" si="50"/>
        <v>450</v>
      </c>
      <c r="L762" s="1245" t="s">
        <v>238</v>
      </c>
      <c r="M762" s="1246" t="s">
        <v>244</v>
      </c>
    </row>
    <row r="763" spans="1:21" hidden="1">
      <c r="B763" s="1011"/>
      <c r="C763" s="1148" t="s">
        <v>612</v>
      </c>
      <c r="D763" s="997"/>
      <c r="G763" s="1000">
        <v>1</v>
      </c>
      <c r="H763" s="1000" t="s">
        <v>862</v>
      </c>
      <c r="I763" s="997">
        <v>400</v>
      </c>
      <c r="J763" s="1204" t="s">
        <v>190</v>
      </c>
      <c r="K763" s="997">
        <f t="shared" si="50"/>
        <v>400</v>
      </c>
      <c r="L763" s="1245" t="s">
        <v>238</v>
      </c>
      <c r="M763" s="1246" t="s">
        <v>236</v>
      </c>
    </row>
    <row r="764" spans="1:21" hidden="1">
      <c r="B764" s="1011"/>
      <c r="C764" s="1148" t="s">
        <v>613</v>
      </c>
      <c r="D764" s="997"/>
      <c r="G764" s="1000">
        <v>1</v>
      </c>
      <c r="H764" s="1000" t="s">
        <v>862</v>
      </c>
      <c r="I764" s="997">
        <v>500</v>
      </c>
      <c r="J764" s="1204" t="s">
        <v>190</v>
      </c>
      <c r="K764" s="997">
        <f t="shared" si="50"/>
        <v>500</v>
      </c>
      <c r="L764" s="1245" t="s">
        <v>238</v>
      </c>
      <c r="M764" s="1246" t="s">
        <v>249</v>
      </c>
    </row>
    <row r="765" spans="1:21" hidden="1">
      <c r="B765" s="1011"/>
      <c r="C765" s="1148" t="s">
        <v>863</v>
      </c>
      <c r="D765" s="997"/>
      <c r="G765" s="1000">
        <f>G761+5</f>
        <v>43</v>
      </c>
      <c r="H765" s="1000" t="s">
        <v>861</v>
      </c>
      <c r="I765" s="997">
        <v>100</v>
      </c>
      <c r="J765" s="1204" t="s">
        <v>190</v>
      </c>
      <c r="K765" s="997">
        <f t="shared" si="50"/>
        <v>4300</v>
      </c>
      <c r="L765" s="1245" t="s">
        <v>238</v>
      </c>
      <c r="M765" s="1246" t="s">
        <v>246</v>
      </c>
    </row>
    <row r="766" spans="1:21" hidden="1">
      <c r="B766" s="1011"/>
      <c r="C766" s="1148" t="s">
        <v>614</v>
      </c>
      <c r="D766" s="997"/>
      <c r="G766" s="1000">
        <v>1</v>
      </c>
      <c r="H766" s="1000" t="s">
        <v>862</v>
      </c>
      <c r="I766" s="997">
        <v>1350</v>
      </c>
      <c r="J766" s="1204" t="s">
        <v>190</v>
      </c>
      <c r="K766" s="997">
        <f t="shared" si="50"/>
        <v>1350</v>
      </c>
      <c r="L766" s="1245" t="s">
        <v>238</v>
      </c>
      <c r="M766" s="1246" t="s">
        <v>247</v>
      </c>
    </row>
    <row r="767" spans="1:21" hidden="1">
      <c r="B767" s="1011"/>
      <c r="C767" s="682" t="s">
        <v>195</v>
      </c>
      <c r="D767" s="997"/>
      <c r="J767" s="1204" t="s">
        <v>190</v>
      </c>
      <c r="K767" s="997">
        <f>SUM(K759:K766)</f>
        <v>29308</v>
      </c>
      <c r="L767" s="1245" t="s">
        <v>615</v>
      </c>
      <c r="N767" s="1246" t="s">
        <v>864</v>
      </c>
    </row>
    <row r="768" spans="1:21" hidden="1">
      <c r="B768" s="1011"/>
      <c r="C768" s="1172" t="s">
        <v>266</v>
      </c>
      <c r="D768" s="1011"/>
      <c r="E768" s="1011"/>
      <c r="F768" s="667"/>
      <c r="G768" s="1011"/>
      <c r="H768" s="1011"/>
      <c r="I768" s="667"/>
      <c r="J768" s="1016" t="s">
        <v>190</v>
      </c>
      <c r="K768" s="1012">
        <f>ROUND(K767,0)</f>
        <v>29308</v>
      </c>
      <c r="L768" s="1245" t="s">
        <v>615</v>
      </c>
      <c r="N768" s="1246" t="s">
        <v>865</v>
      </c>
    </row>
    <row r="769" spans="2:19" hidden="1">
      <c r="B769" s="1011"/>
      <c r="C769" s="843"/>
      <c r="J769" s="1016"/>
      <c r="L769" s="1004"/>
    </row>
    <row r="770" spans="2:19" hidden="1">
      <c r="B770" s="1244" t="str">
        <f>ปร.4_1!C146</f>
        <v>6.1.2</v>
      </c>
      <c r="C770" s="1031" t="str">
        <f>ปร.4_1!D146</f>
        <v>เสาไฟฟ้า สูง 9.00 เมตร กิ่งคู่พร้อมอุปกรณ์</v>
      </c>
      <c r="J770" s="1016"/>
      <c r="L770" s="1004"/>
      <c r="R770" s="976">
        <v>107</v>
      </c>
      <c r="S770" s="978">
        <v>15658.5</v>
      </c>
    </row>
    <row r="771" spans="2:19" hidden="1">
      <c r="B771" s="1244"/>
      <c r="C771" s="1148" t="s">
        <v>856</v>
      </c>
      <c r="D771" s="997"/>
      <c r="G771" s="1000">
        <v>1</v>
      </c>
      <c r="H771" s="1000" t="s">
        <v>859</v>
      </c>
      <c r="I771" s="1242">
        <v>11700</v>
      </c>
      <c r="J771" s="1204" t="s">
        <v>190</v>
      </c>
      <c r="K771" s="997">
        <f t="shared" ref="K771:K778" si="51">I771*G771</f>
        <v>11700</v>
      </c>
      <c r="L771" s="1245" t="s">
        <v>238</v>
      </c>
      <c r="M771" s="1246" t="s">
        <v>193</v>
      </c>
      <c r="R771" s="976">
        <v>100</v>
      </c>
      <c r="S771" s="978">
        <f>(S770/R770)*R771</f>
        <v>14634.112149532712</v>
      </c>
    </row>
    <row r="772" spans="2:19" hidden="1">
      <c r="B772" s="1244"/>
      <c r="C772" s="1148" t="s">
        <v>872</v>
      </c>
      <c r="D772" s="997"/>
      <c r="G772" s="1000">
        <v>2</v>
      </c>
      <c r="H772" s="1000" t="s">
        <v>860</v>
      </c>
      <c r="I772" s="1242">
        <v>7600</v>
      </c>
      <c r="J772" s="1204" t="s">
        <v>190</v>
      </c>
      <c r="K772" s="997">
        <f t="shared" si="51"/>
        <v>15200</v>
      </c>
      <c r="L772" s="1245" t="s">
        <v>238</v>
      </c>
      <c r="M772" s="1246" t="s">
        <v>234</v>
      </c>
      <c r="P772" s="1033">
        <f>179.38+32</f>
        <v>211.38</v>
      </c>
    </row>
    <row r="773" spans="2:19" hidden="1">
      <c r="B773" s="1244"/>
      <c r="C773" s="1148" t="s">
        <v>1858</v>
      </c>
      <c r="D773" s="997"/>
      <c r="G773" s="1243">
        <v>30</v>
      </c>
      <c r="H773" s="1000" t="s">
        <v>861</v>
      </c>
      <c r="I773" s="1242">
        <f>P772</f>
        <v>211.38</v>
      </c>
      <c r="J773" s="1204" t="s">
        <v>190</v>
      </c>
      <c r="K773" s="997">
        <f t="shared" si="51"/>
        <v>6341.4</v>
      </c>
      <c r="L773" s="1245" t="s">
        <v>238</v>
      </c>
      <c r="M773" s="1246" t="s">
        <v>239</v>
      </c>
      <c r="P773" s="1033">
        <f>9.46+7</f>
        <v>16.46</v>
      </c>
      <c r="S773" s="978">
        <f>S771*0.8</f>
        <v>11707.289719626169</v>
      </c>
    </row>
    <row r="774" spans="2:19" hidden="1">
      <c r="B774" s="1244"/>
      <c r="C774" s="1148" t="s">
        <v>1859</v>
      </c>
      <c r="D774" s="997"/>
      <c r="G774" s="1000">
        <v>24</v>
      </c>
      <c r="H774" s="1000" t="s">
        <v>861</v>
      </c>
      <c r="I774" s="1242">
        <f>P773</f>
        <v>16.46</v>
      </c>
      <c r="J774" s="1204" t="s">
        <v>190</v>
      </c>
      <c r="K774" s="997">
        <f t="shared" si="51"/>
        <v>395.04</v>
      </c>
      <c r="L774" s="1245" t="s">
        <v>238</v>
      </c>
      <c r="M774" s="1246" t="s">
        <v>244</v>
      </c>
    </row>
    <row r="775" spans="2:19" hidden="1">
      <c r="B775" s="1244"/>
      <c r="C775" s="1148" t="s">
        <v>612</v>
      </c>
      <c r="D775" s="997"/>
      <c r="G775" s="1000">
        <v>1</v>
      </c>
      <c r="H775" s="1000" t="s">
        <v>862</v>
      </c>
      <c r="I775" s="997">
        <v>100</v>
      </c>
      <c r="J775" s="1204" t="s">
        <v>190</v>
      </c>
      <c r="K775" s="997">
        <f t="shared" si="51"/>
        <v>100</v>
      </c>
      <c r="L775" s="1245" t="s">
        <v>238</v>
      </c>
      <c r="M775" s="1246" t="s">
        <v>236</v>
      </c>
    </row>
    <row r="776" spans="2:19" hidden="1">
      <c r="B776" s="1244"/>
      <c r="C776" s="1148" t="s">
        <v>613</v>
      </c>
      <c r="D776" s="997"/>
      <c r="G776" s="1000">
        <v>1</v>
      </c>
      <c r="H776" s="1000" t="s">
        <v>862</v>
      </c>
      <c r="I776" s="997">
        <v>260</v>
      </c>
      <c r="J776" s="1204" t="s">
        <v>190</v>
      </c>
      <c r="K776" s="997">
        <f t="shared" si="51"/>
        <v>260</v>
      </c>
      <c r="L776" s="1245" t="s">
        <v>238</v>
      </c>
      <c r="M776" s="1246" t="s">
        <v>249</v>
      </c>
    </row>
    <row r="777" spans="2:19" hidden="1">
      <c r="B777" s="1244"/>
      <c r="C777" s="1148" t="s">
        <v>863</v>
      </c>
      <c r="D777" s="997"/>
      <c r="G777" s="1000">
        <f>G773</f>
        <v>30</v>
      </c>
      <c r="H777" s="1000" t="s">
        <v>861</v>
      </c>
      <c r="I777" s="997">
        <v>65</v>
      </c>
      <c r="J777" s="1204" t="s">
        <v>190</v>
      </c>
      <c r="K777" s="997">
        <f t="shared" si="51"/>
        <v>1950</v>
      </c>
      <c r="L777" s="1245" t="s">
        <v>238</v>
      </c>
      <c r="M777" s="1246" t="s">
        <v>246</v>
      </c>
    </row>
    <row r="778" spans="2:19" hidden="1">
      <c r="B778" s="1244"/>
      <c r="C778" s="1148" t="s">
        <v>614</v>
      </c>
      <c r="D778" s="997"/>
      <c r="G778" s="1000">
        <v>1</v>
      </c>
      <c r="H778" s="1000" t="s">
        <v>862</v>
      </c>
      <c r="I778" s="997">
        <v>2210</v>
      </c>
      <c r="J778" s="1204" t="s">
        <v>190</v>
      </c>
      <c r="K778" s="997">
        <f t="shared" si="51"/>
        <v>2210</v>
      </c>
      <c r="L778" s="1245" t="s">
        <v>238</v>
      </c>
      <c r="M778" s="1246" t="s">
        <v>247</v>
      </c>
    </row>
    <row r="779" spans="2:19" hidden="1">
      <c r="B779" s="1244"/>
      <c r="C779" s="682" t="s">
        <v>195</v>
      </c>
      <c r="D779" s="997"/>
      <c r="J779" s="1204" t="s">
        <v>190</v>
      </c>
      <c r="K779" s="997">
        <f>SUM(K771:K778)</f>
        <v>38156.44</v>
      </c>
      <c r="L779" s="1245" t="s">
        <v>615</v>
      </c>
      <c r="N779" s="1246" t="s">
        <v>864</v>
      </c>
    </row>
    <row r="780" spans="2:19" hidden="1">
      <c r="B780" s="1244"/>
      <c r="C780" s="1172" t="s">
        <v>266</v>
      </c>
      <c r="D780" s="1011"/>
      <c r="E780" s="1011"/>
      <c r="F780" s="667"/>
      <c r="G780" s="1011"/>
      <c r="H780" s="1011"/>
      <c r="I780" s="667"/>
      <c r="J780" s="1016" t="s">
        <v>190</v>
      </c>
      <c r="K780" s="1012">
        <f>ROUND(K779,0)</f>
        <v>38156</v>
      </c>
      <c r="L780" s="1245" t="s">
        <v>615</v>
      </c>
      <c r="N780" s="1246" t="s">
        <v>865</v>
      </c>
    </row>
    <row r="781" spans="2:19" hidden="1">
      <c r="B781" s="1244"/>
      <c r="C781" s="1031"/>
      <c r="J781" s="1016"/>
      <c r="L781" s="1004"/>
    </row>
    <row r="782" spans="2:19" hidden="1">
      <c r="B782" s="1244">
        <f>ปร.4_1!B147</f>
        <v>6.2</v>
      </c>
      <c r="C782" s="1031" t="str">
        <f>ปร.4_1!C147</f>
        <v>งานฐานเสาไฟฟ้าแสงสว่างและอุปกรณ์ประกอบ</v>
      </c>
      <c r="J782" s="1016"/>
      <c r="L782" s="1004"/>
    </row>
    <row r="783" spans="2:19" hidden="1">
      <c r="B783" s="1244"/>
      <c r="C783" s="1148" t="s">
        <v>517</v>
      </c>
      <c r="D783" s="997"/>
      <c r="E783" s="1204" t="s">
        <v>190</v>
      </c>
      <c r="F783" s="997">
        <v>0.04</v>
      </c>
      <c r="G783" s="1000" t="s">
        <v>251</v>
      </c>
      <c r="H783" s="997">
        <f>M1196</f>
        <v>1948</v>
      </c>
      <c r="I783" s="1245" t="s">
        <v>238</v>
      </c>
      <c r="J783" s="1000" t="s">
        <v>190</v>
      </c>
      <c r="K783" s="997">
        <f t="shared" ref="K783:K794" si="52">H783*F783</f>
        <v>77.92</v>
      </c>
      <c r="L783" s="1245" t="s">
        <v>238</v>
      </c>
      <c r="M783" s="1246" t="s">
        <v>193</v>
      </c>
    </row>
    <row r="784" spans="2:19" hidden="1">
      <c r="B784" s="1244"/>
      <c r="C784" s="1148" t="s">
        <v>253</v>
      </c>
      <c r="D784" s="997"/>
      <c r="E784" s="1204" t="s">
        <v>190</v>
      </c>
      <c r="F784" s="997">
        <v>0.6</v>
      </c>
      <c r="G784" s="1000" t="s">
        <v>251</v>
      </c>
      <c r="H784" s="997">
        <f>M1216</f>
        <v>2262</v>
      </c>
      <c r="I784" s="1245" t="s">
        <v>238</v>
      </c>
      <c r="J784" s="1000" t="s">
        <v>190</v>
      </c>
      <c r="K784" s="997">
        <f t="shared" si="52"/>
        <v>1357.2</v>
      </c>
      <c r="L784" s="1245" t="s">
        <v>238</v>
      </c>
      <c r="M784" s="1246" t="s">
        <v>234</v>
      </c>
    </row>
    <row r="785" spans="2:14" hidden="1">
      <c r="B785" s="1244"/>
      <c r="C785" s="1148" t="s">
        <v>254</v>
      </c>
      <c r="D785" s="997"/>
      <c r="E785" s="1204" t="s">
        <v>190</v>
      </c>
      <c r="F785" s="997">
        <v>2.88</v>
      </c>
      <c r="G785" s="1000" t="s">
        <v>255</v>
      </c>
      <c r="H785" s="997">
        <f>K1454</f>
        <v>254</v>
      </c>
      <c r="I785" s="1245" t="s">
        <v>238</v>
      </c>
      <c r="J785" s="1000" t="s">
        <v>190</v>
      </c>
      <c r="K785" s="997">
        <f t="shared" si="52"/>
        <v>731.52</v>
      </c>
      <c r="L785" s="1245" t="s">
        <v>238</v>
      </c>
      <c r="M785" s="1246" t="s">
        <v>239</v>
      </c>
    </row>
    <row r="786" spans="2:14" hidden="1">
      <c r="B786" s="1244"/>
      <c r="C786" s="1148" t="s">
        <v>5</v>
      </c>
      <c r="D786" s="997"/>
      <c r="E786" s="1204"/>
      <c r="J786" s="1000"/>
      <c r="L786" s="1245"/>
      <c r="M786" s="1246"/>
    </row>
    <row r="787" spans="2:14" hidden="1">
      <c r="B787" s="1244"/>
      <c r="C787" s="1148" t="s">
        <v>256</v>
      </c>
      <c r="D787" s="997"/>
      <c r="E787" s="1204" t="s">
        <v>190</v>
      </c>
      <c r="F787" s="997">
        <v>11.8</v>
      </c>
      <c r="G787" s="1000" t="s">
        <v>242</v>
      </c>
      <c r="H787" s="997">
        <f>J1322</f>
        <v>21.43</v>
      </c>
      <c r="I787" s="1245" t="s">
        <v>238</v>
      </c>
      <c r="J787" s="1000" t="s">
        <v>190</v>
      </c>
      <c r="K787" s="997">
        <f t="shared" si="52"/>
        <v>252.87400000000002</v>
      </c>
      <c r="L787" s="1245" t="s">
        <v>238</v>
      </c>
      <c r="M787" s="1246" t="s">
        <v>244</v>
      </c>
    </row>
    <row r="788" spans="2:14" hidden="1">
      <c r="B788" s="1244"/>
      <c r="C788" s="1148" t="s">
        <v>387</v>
      </c>
      <c r="D788" s="997"/>
      <c r="E788" s="1204" t="s">
        <v>190</v>
      </c>
      <c r="F788" s="997">
        <v>9.4</v>
      </c>
      <c r="G788" s="1000" t="s">
        <v>242</v>
      </c>
      <c r="H788" s="997">
        <f>J1402</f>
        <v>14.96</v>
      </c>
      <c r="I788" s="1245" t="s">
        <v>238</v>
      </c>
      <c r="J788" s="1000" t="s">
        <v>190</v>
      </c>
      <c r="K788" s="997">
        <f t="shared" si="52"/>
        <v>140.62400000000002</v>
      </c>
      <c r="L788" s="1245" t="s">
        <v>238</v>
      </c>
      <c r="M788" s="1246" t="s">
        <v>236</v>
      </c>
    </row>
    <row r="789" spans="2:14" hidden="1">
      <c r="B789" s="1244"/>
      <c r="C789" s="1172" t="s">
        <v>8</v>
      </c>
      <c r="D789" s="997"/>
      <c r="E789" s="1204" t="s">
        <v>190</v>
      </c>
      <c r="F789" s="997">
        <f>F787+F788</f>
        <v>21.200000000000003</v>
      </c>
      <c r="G789" s="1000" t="s">
        <v>242</v>
      </c>
      <c r="H789" s="1011">
        <f>ROUNDDOWN(IF(F789=0,0,IF(F789/1000&gt;100,2900/1000,3300/1000)),2)</f>
        <v>3.3</v>
      </c>
      <c r="I789" s="1245" t="s">
        <v>238</v>
      </c>
      <c r="J789" s="1000" t="s">
        <v>190</v>
      </c>
      <c r="K789" s="997">
        <f t="shared" si="52"/>
        <v>69.960000000000008</v>
      </c>
      <c r="L789" s="1245" t="s">
        <v>238</v>
      </c>
      <c r="M789" s="1246" t="s">
        <v>590</v>
      </c>
    </row>
    <row r="790" spans="2:14" hidden="1">
      <c r="B790" s="1244"/>
      <c r="C790" s="1172" t="s">
        <v>384</v>
      </c>
      <c r="D790" s="997"/>
      <c r="E790" s="1204" t="s">
        <v>190</v>
      </c>
      <c r="F790" s="997">
        <f>F789*0.025</f>
        <v>0.53000000000000014</v>
      </c>
      <c r="G790" s="1000" t="s">
        <v>242</v>
      </c>
      <c r="H790" s="997">
        <f>ข้อมูลแหล่งราคาวัสดุ!D54</f>
        <v>19.739999999999998</v>
      </c>
      <c r="I790" s="1245" t="s">
        <v>238</v>
      </c>
      <c r="J790" s="1000" t="s">
        <v>190</v>
      </c>
      <c r="K790" s="997">
        <f t="shared" si="52"/>
        <v>10.462200000000001</v>
      </c>
      <c r="L790" s="1245" t="s">
        <v>238</v>
      </c>
      <c r="M790" s="1246" t="s">
        <v>246</v>
      </c>
    </row>
    <row r="791" spans="2:14" hidden="1">
      <c r="B791" s="1244"/>
      <c r="C791" s="1148" t="s">
        <v>866</v>
      </c>
      <c r="D791" s="997"/>
      <c r="E791" s="1204" t="s">
        <v>190</v>
      </c>
      <c r="F791" s="997">
        <v>1</v>
      </c>
      <c r="G791" s="1000" t="s">
        <v>407</v>
      </c>
      <c r="H791" s="997">
        <v>280</v>
      </c>
      <c r="I791" s="1245" t="s">
        <v>238</v>
      </c>
      <c r="J791" s="1000" t="s">
        <v>190</v>
      </c>
      <c r="K791" s="997">
        <f t="shared" si="52"/>
        <v>280</v>
      </c>
      <c r="L791" s="1245" t="s">
        <v>238</v>
      </c>
      <c r="M791" s="1246" t="s">
        <v>247</v>
      </c>
    </row>
    <row r="792" spans="2:14" hidden="1">
      <c r="B792" s="1244"/>
      <c r="C792" s="1148" t="s">
        <v>867</v>
      </c>
      <c r="D792" s="997"/>
      <c r="E792" s="1204" t="s">
        <v>190</v>
      </c>
      <c r="F792" s="997">
        <v>4</v>
      </c>
      <c r="G792" s="1000" t="s">
        <v>868</v>
      </c>
      <c r="H792" s="997">
        <v>5</v>
      </c>
      <c r="I792" s="1245" t="s">
        <v>238</v>
      </c>
      <c r="J792" s="1000" t="s">
        <v>190</v>
      </c>
      <c r="K792" s="997">
        <f t="shared" si="52"/>
        <v>20</v>
      </c>
      <c r="L792" s="1245" t="s">
        <v>238</v>
      </c>
      <c r="M792" s="1246" t="s">
        <v>262</v>
      </c>
    </row>
    <row r="793" spans="2:14" hidden="1">
      <c r="B793" s="1244"/>
      <c r="C793" s="1148" t="s">
        <v>1860</v>
      </c>
      <c r="D793" s="997"/>
      <c r="E793" s="1204" t="s">
        <v>190</v>
      </c>
      <c r="F793" s="997">
        <v>2.5</v>
      </c>
      <c r="G793" s="1000" t="s">
        <v>243</v>
      </c>
      <c r="H793" s="1242">
        <v>180</v>
      </c>
      <c r="I793" s="1245" t="s">
        <v>238</v>
      </c>
      <c r="J793" s="1000" t="s">
        <v>190</v>
      </c>
      <c r="K793" s="997">
        <f t="shared" si="52"/>
        <v>450</v>
      </c>
      <c r="L793" s="1245" t="s">
        <v>238</v>
      </c>
      <c r="M793" s="1246" t="s">
        <v>379</v>
      </c>
    </row>
    <row r="794" spans="2:14" hidden="1">
      <c r="B794" s="1244"/>
      <c r="C794" s="1148" t="s">
        <v>869</v>
      </c>
      <c r="D794" s="997"/>
      <c r="E794" s="1204" t="s">
        <v>190</v>
      </c>
      <c r="F794" s="997">
        <v>32</v>
      </c>
      <c r="G794" s="1000" t="s">
        <v>591</v>
      </c>
      <c r="H794" s="997">
        <v>5</v>
      </c>
      <c r="I794" s="1245" t="s">
        <v>238</v>
      </c>
      <c r="J794" s="1000" t="s">
        <v>190</v>
      </c>
      <c r="K794" s="997">
        <f t="shared" si="52"/>
        <v>160</v>
      </c>
      <c r="L794" s="1245" t="s">
        <v>238</v>
      </c>
      <c r="M794" s="1246" t="s">
        <v>446</v>
      </c>
    </row>
    <row r="795" spans="2:14" hidden="1">
      <c r="B795" s="1244"/>
      <c r="C795" s="682" t="s">
        <v>195</v>
      </c>
      <c r="D795" s="997"/>
      <c r="J795" s="1000" t="s">
        <v>190</v>
      </c>
      <c r="K795" s="997">
        <f>SUM(K783:K794)</f>
        <v>3550.5601999999999</v>
      </c>
      <c r="L795" s="1245" t="s">
        <v>870</v>
      </c>
      <c r="N795" s="1246" t="s">
        <v>871</v>
      </c>
    </row>
    <row r="796" spans="2:14" hidden="1">
      <c r="B796" s="1244"/>
      <c r="C796" s="1172" t="s">
        <v>266</v>
      </c>
      <c r="D796" s="1011"/>
      <c r="E796" s="1011"/>
      <c r="F796" s="667"/>
      <c r="G796" s="1011"/>
      <c r="H796" s="1011"/>
      <c r="I796" s="667"/>
      <c r="J796" s="1016" t="s">
        <v>190</v>
      </c>
      <c r="K796" s="1012">
        <f>ROUND(K795,0)</f>
        <v>3551</v>
      </c>
      <c r="L796" s="1245" t="s">
        <v>870</v>
      </c>
      <c r="N796" s="1246" t="s">
        <v>592</v>
      </c>
    </row>
    <row r="797" spans="2:14" hidden="1">
      <c r="B797" s="1244"/>
      <c r="C797" s="1031"/>
      <c r="J797" s="1016"/>
      <c r="L797" s="1004"/>
    </row>
    <row r="798" spans="2:14" hidden="1">
      <c r="B798" s="1244">
        <f>ปร.4_1!B148</f>
        <v>6.3</v>
      </c>
      <c r="C798" s="1031" t="str">
        <f>ปร.4_1!C148</f>
        <v>ตู้ควบคุมไฟถนนพร้อมอุปกรณ์ประกอบ</v>
      </c>
      <c r="J798" s="1016"/>
      <c r="L798" s="1004"/>
    </row>
    <row r="799" spans="2:14" hidden="1">
      <c r="B799" s="1244"/>
      <c r="C799" s="843" t="s">
        <v>1861</v>
      </c>
      <c r="D799" s="997"/>
      <c r="G799" s="1000">
        <v>1</v>
      </c>
      <c r="H799" s="1000" t="s">
        <v>595</v>
      </c>
      <c r="I799" s="997">
        <v>7000</v>
      </c>
      <c r="J799" s="1000" t="s">
        <v>190</v>
      </c>
      <c r="K799" s="997">
        <f>G799*I799</f>
        <v>7000</v>
      </c>
      <c r="L799" s="1245" t="s">
        <v>238</v>
      </c>
    </row>
    <row r="800" spans="2:14" hidden="1">
      <c r="B800" s="1244"/>
      <c r="C800" s="843" t="s">
        <v>1862</v>
      </c>
      <c r="D800" s="997"/>
      <c r="G800" s="1000">
        <v>2</v>
      </c>
      <c r="H800" s="1000" t="s">
        <v>595</v>
      </c>
      <c r="I800" s="997">
        <v>8000</v>
      </c>
      <c r="J800" s="1000" t="s">
        <v>190</v>
      </c>
      <c r="K800" s="997">
        <f>G800*I800</f>
        <v>16000</v>
      </c>
      <c r="L800" s="1245" t="s">
        <v>238</v>
      </c>
    </row>
    <row r="801" spans="1:79" hidden="1">
      <c r="B801" s="1244"/>
      <c r="C801" s="1148" t="s">
        <v>613</v>
      </c>
      <c r="D801" s="997"/>
      <c r="G801" s="1000">
        <v>1</v>
      </c>
      <c r="H801" s="1000" t="s">
        <v>862</v>
      </c>
      <c r="I801" s="997">
        <v>750</v>
      </c>
      <c r="J801" s="1204" t="s">
        <v>190</v>
      </c>
      <c r="K801" s="997">
        <f>I801*G801</f>
        <v>750</v>
      </c>
      <c r="L801" s="1245" t="s">
        <v>238</v>
      </c>
    </row>
    <row r="802" spans="1:79" hidden="1">
      <c r="B802" s="1244"/>
      <c r="C802" s="1148" t="s">
        <v>1858</v>
      </c>
      <c r="D802" s="997"/>
      <c r="G802" s="1243">
        <v>36</v>
      </c>
      <c r="H802" s="1000" t="s">
        <v>861</v>
      </c>
      <c r="I802" s="1242">
        <v>191</v>
      </c>
      <c r="J802" s="1204" t="s">
        <v>190</v>
      </c>
      <c r="K802" s="997">
        <f>I802*G802</f>
        <v>6876</v>
      </c>
      <c r="L802" s="1245" t="s">
        <v>238</v>
      </c>
    </row>
    <row r="803" spans="1:79" hidden="1">
      <c r="B803" s="1244"/>
      <c r="C803" s="843" t="s">
        <v>1863</v>
      </c>
      <c r="D803" s="997"/>
      <c r="G803" s="1000">
        <v>30</v>
      </c>
      <c r="H803" s="1000" t="s">
        <v>616</v>
      </c>
      <c r="I803" s="997">
        <v>1100</v>
      </c>
      <c r="J803" s="1000" t="s">
        <v>190</v>
      </c>
      <c r="K803" s="997">
        <f>G803*I803</f>
        <v>33000</v>
      </c>
      <c r="L803" s="1245" t="s">
        <v>238</v>
      </c>
    </row>
    <row r="804" spans="1:79" hidden="1">
      <c r="B804" s="1011"/>
      <c r="C804" s="682" t="s">
        <v>195</v>
      </c>
      <c r="D804" s="997"/>
      <c r="J804" s="1000" t="s">
        <v>190</v>
      </c>
      <c r="K804" s="997">
        <f>SUM(K799:K803)</f>
        <v>63626</v>
      </c>
      <c r="L804" s="1245" t="s">
        <v>615</v>
      </c>
    </row>
    <row r="805" spans="1:79" hidden="1">
      <c r="B805" s="1011"/>
      <c r="C805" s="1015"/>
      <c r="L805" s="1015"/>
      <c r="Y805" s="1032"/>
    </row>
    <row r="806" spans="1:79" hidden="1">
      <c r="B806" s="1244">
        <f>ปร.4_1!B149</f>
        <v>6.4</v>
      </c>
      <c r="C806" s="1031" t="str">
        <f>ปร.4_1!C149</f>
        <v>ท่อร้อยสายไฟฟ้า</v>
      </c>
      <c r="L806" s="1015"/>
    </row>
    <row r="807" spans="1:79" hidden="1">
      <c r="B807" s="1232" t="str">
        <f>ปร.4_1!C150</f>
        <v>6.4.1</v>
      </c>
      <c r="C807" s="1031" t="str">
        <f>ปร.4_1!D150</f>
        <v>ท่อร้อยสายไฟฟ้า ชนิด HDPE และอุปกรณ์ประกอบ</v>
      </c>
      <c r="L807" s="1015"/>
    </row>
    <row r="808" spans="1:79" hidden="1">
      <c r="B808" s="1232" t="str">
        <f>ปร.4_1!C151</f>
        <v>6.4.1(1)</v>
      </c>
      <c r="C808" s="1031" t="str">
        <f>ปร.4_1!D151</f>
        <v>ขนาดเส้นผ่านศูนย์กลาง...............มม.</v>
      </c>
      <c r="L808" s="1015"/>
      <c r="P808" s="978">
        <f>25*2.5</f>
        <v>62.5</v>
      </c>
    </row>
    <row r="809" spans="1:79" s="1032" customFormat="1" hidden="1">
      <c r="A809" s="976"/>
      <c r="B809" s="1011"/>
      <c r="C809" s="843" t="s">
        <v>890</v>
      </c>
      <c r="D809" s="997"/>
      <c r="E809" s="997"/>
      <c r="F809" s="997"/>
      <c r="G809" s="1000"/>
      <c r="H809" s="997"/>
      <c r="I809" s="997"/>
      <c r="J809" s="1247" t="s">
        <v>190</v>
      </c>
      <c r="K809" s="1248">
        <v>87</v>
      </c>
      <c r="L809" s="1245" t="s">
        <v>252</v>
      </c>
      <c r="M809" s="976"/>
      <c r="N809" s="684" t="s">
        <v>193</v>
      </c>
      <c r="O809" s="976"/>
      <c r="P809" s="978"/>
      <c r="Q809" s="976"/>
      <c r="R809" s="976"/>
      <c r="S809" s="978"/>
      <c r="T809" s="976"/>
      <c r="U809" s="976"/>
      <c r="V809" s="976"/>
      <c r="W809" s="976"/>
      <c r="X809" s="976"/>
      <c r="Y809" s="976"/>
      <c r="Z809" s="976"/>
      <c r="AA809" s="976"/>
      <c r="AB809" s="976"/>
      <c r="AC809" s="976"/>
      <c r="AD809" s="976"/>
      <c r="AE809" s="976"/>
      <c r="AF809" s="976"/>
      <c r="AG809" s="976"/>
      <c r="AH809" s="976"/>
      <c r="AI809" s="976"/>
      <c r="AJ809" s="976"/>
      <c r="AK809" s="976"/>
      <c r="AL809" s="976"/>
      <c r="AM809" s="976"/>
      <c r="AN809" s="976"/>
      <c r="AO809" s="976"/>
      <c r="AP809" s="976"/>
      <c r="AQ809" s="976"/>
      <c r="AR809" s="976"/>
      <c r="AS809" s="976"/>
      <c r="AT809" s="976"/>
      <c r="AU809" s="976"/>
      <c r="AV809" s="976"/>
      <c r="AW809" s="976"/>
      <c r="AX809" s="976"/>
      <c r="AY809" s="976"/>
      <c r="AZ809" s="976"/>
      <c r="BA809" s="976"/>
      <c r="BB809" s="976"/>
      <c r="BC809" s="976"/>
      <c r="BD809" s="976"/>
      <c r="BE809" s="976"/>
      <c r="BF809" s="976"/>
      <c r="BG809" s="976"/>
      <c r="BH809" s="976"/>
      <c r="BI809" s="976"/>
      <c r="BJ809" s="976"/>
      <c r="BK809" s="976"/>
      <c r="BL809" s="976"/>
      <c r="BM809" s="976"/>
      <c r="BN809" s="976"/>
      <c r="BO809" s="976"/>
      <c r="BP809" s="976"/>
      <c r="BQ809" s="976"/>
      <c r="BR809" s="976"/>
      <c r="BS809" s="976"/>
      <c r="BT809" s="976"/>
      <c r="BU809" s="976"/>
      <c r="BV809" s="976"/>
      <c r="BW809" s="976"/>
      <c r="BX809" s="976"/>
      <c r="BY809" s="976"/>
      <c r="BZ809" s="976"/>
      <c r="CA809" s="976"/>
    </row>
    <row r="810" spans="1:79" hidden="1">
      <c r="B810" s="1011"/>
      <c r="C810" s="843" t="s">
        <v>617</v>
      </c>
      <c r="D810" s="997"/>
      <c r="J810" s="1247" t="s">
        <v>190</v>
      </c>
      <c r="K810" s="1041">
        <v>24</v>
      </c>
      <c r="L810" s="1245" t="s">
        <v>252</v>
      </c>
      <c r="N810" s="684" t="s">
        <v>234</v>
      </c>
      <c r="AH810" s="1032"/>
      <c r="AI810" s="1032"/>
      <c r="AJ810" s="1032"/>
      <c r="AK810" s="1032"/>
      <c r="AL810" s="1032"/>
      <c r="AM810" s="1032"/>
      <c r="AN810" s="1032"/>
      <c r="AO810" s="1032"/>
      <c r="AP810" s="1032"/>
      <c r="AQ810" s="1032"/>
      <c r="AR810" s="1032"/>
      <c r="AS810" s="1032"/>
      <c r="AT810" s="1032"/>
      <c r="AU810" s="1032"/>
      <c r="AV810" s="1032"/>
      <c r="AW810" s="1032"/>
      <c r="AX810" s="1032"/>
      <c r="AY810" s="1032"/>
      <c r="AZ810" s="1032"/>
      <c r="BA810" s="1032"/>
      <c r="BB810" s="1032"/>
      <c r="BC810" s="1032"/>
      <c r="BD810" s="1032"/>
      <c r="BE810" s="1032"/>
      <c r="BF810" s="1032"/>
      <c r="BG810" s="1032"/>
      <c r="BH810" s="1032"/>
      <c r="BI810" s="1032"/>
      <c r="BJ810" s="1032"/>
      <c r="BK810" s="1032"/>
      <c r="BL810" s="1032"/>
      <c r="BM810" s="1032"/>
      <c r="BN810" s="1032"/>
      <c r="BO810" s="1032"/>
      <c r="BP810" s="1032"/>
      <c r="BQ810" s="1032"/>
      <c r="BR810" s="1032"/>
      <c r="BS810" s="1032"/>
      <c r="BT810" s="1032"/>
      <c r="BU810" s="1032"/>
      <c r="BV810" s="1032"/>
      <c r="BW810" s="1032"/>
      <c r="BX810" s="1032"/>
      <c r="BY810" s="1032"/>
      <c r="BZ810" s="1032"/>
      <c r="CA810" s="1032"/>
    </row>
    <row r="811" spans="1:79" hidden="1">
      <c r="A811" s="1032"/>
      <c r="B811" s="1206"/>
      <c r="C811" s="1241" t="s">
        <v>195</v>
      </c>
      <c r="D811" s="1242"/>
      <c r="E811" s="1242"/>
      <c r="F811" s="1242"/>
      <c r="G811" s="1243"/>
      <c r="H811" s="1242"/>
      <c r="I811" s="1242"/>
      <c r="J811" s="1249" t="s">
        <v>190</v>
      </c>
      <c r="K811" s="1248">
        <f>SUM(K809:K810)</f>
        <v>111</v>
      </c>
      <c r="L811" s="1250" t="s">
        <v>252</v>
      </c>
      <c r="M811" s="1032"/>
      <c r="N811" s="1251" t="s">
        <v>202</v>
      </c>
    </row>
    <row r="812" spans="1:79" hidden="1">
      <c r="B812" s="1011"/>
      <c r="C812" s="1015"/>
      <c r="L812" s="1015"/>
    </row>
    <row r="813" spans="1:79" hidden="1">
      <c r="A813" s="1001">
        <f>ปร.4_1!A159</f>
        <v>7</v>
      </c>
      <c r="B813" s="1023" t="str">
        <f>ปร.4_1!B159</f>
        <v>งานป้องกันการกัดเซาะ</v>
      </c>
      <c r="C813" s="1015"/>
      <c r="L813" s="1015"/>
      <c r="O813" s="1037" t="s">
        <v>1641</v>
      </c>
      <c r="P813" s="1252">
        <v>1</v>
      </c>
      <c r="Q813" s="978" t="s">
        <v>744</v>
      </c>
      <c r="R813" s="1037" t="s">
        <v>1642</v>
      </c>
      <c r="S813" s="1252">
        <v>2</v>
      </c>
      <c r="T813" s="978" t="s">
        <v>744</v>
      </c>
    </row>
    <row r="814" spans="1:79" hidden="1">
      <c r="B814" s="1253">
        <f>ปร.4_1!B160</f>
        <v>7.1</v>
      </c>
      <c r="C814" s="1254" t="str">
        <f>ปร.4_1!C160</f>
        <v>งาน Concrete Slope Protection</v>
      </c>
      <c r="D814" s="1255"/>
      <c r="E814" s="1012" t="s">
        <v>1640</v>
      </c>
      <c r="F814" s="1012"/>
      <c r="G814" s="1012"/>
      <c r="H814" s="1012"/>
      <c r="I814" s="1012"/>
      <c r="J814" s="1012"/>
      <c r="K814" s="1012"/>
      <c r="L814" s="667"/>
      <c r="M814" s="667"/>
      <c r="O814" s="1139"/>
      <c r="P814" s="1100" t="s">
        <v>1137</v>
      </c>
      <c r="Q814" s="1118" t="s">
        <v>1138</v>
      </c>
      <c r="R814" s="1100" t="s">
        <v>1139</v>
      </c>
      <c r="S814" s="1100" t="s">
        <v>1140</v>
      </c>
      <c r="T814" s="1256" t="s">
        <v>26</v>
      </c>
      <c r="U814" s="1139"/>
    </row>
    <row r="815" spans="1:79" hidden="1">
      <c r="B815" s="1071"/>
      <c r="C815" s="1148" t="s">
        <v>382</v>
      </c>
      <c r="D815" s="1255"/>
      <c r="E815" s="1012"/>
      <c r="F815" s="1071">
        <f>T815</f>
        <v>25</v>
      </c>
      <c r="G815" s="1257" t="s">
        <v>7</v>
      </c>
      <c r="H815" s="1012"/>
      <c r="I815" s="1258"/>
      <c r="J815" s="1012"/>
      <c r="K815" s="1012"/>
      <c r="L815" s="667"/>
      <c r="M815" s="667" t="s">
        <v>193</v>
      </c>
      <c r="O815" s="1259" t="s">
        <v>800</v>
      </c>
      <c r="P815" s="1252">
        <v>10</v>
      </c>
      <c r="Q815" s="1252">
        <v>0.27</v>
      </c>
      <c r="R815" s="1252">
        <f>(P813*S813)+((P813-1)*0.006)</f>
        <v>2</v>
      </c>
      <c r="S815" s="1252">
        <f>0.52*0.45</f>
        <v>0.23400000000000001</v>
      </c>
      <c r="T815" s="1260">
        <f>ROUNDDOWN((Q815+R815+S815)*P815,0)</f>
        <v>25</v>
      </c>
      <c r="U815" s="1139" t="s">
        <v>7</v>
      </c>
    </row>
    <row r="816" spans="1:79" hidden="1">
      <c r="B816" s="1071"/>
      <c r="C816" s="1148" t="s">
        <v>383</v>
      </c>
      <c r="D816" s="1255"/>
      <c r="E816" s="1012"/>
      <c r="F816" s="1071">
        <f>T816</f>
        <v>5.57</v>
      </c>
      <c r="G816" s="1257" t="s">
        <v>251</v>
      </c>
      <c r="H816" s="1012">
        <v>148</v>
      </c>
      <c r="I816" s="1012" t="s">
        <v>238</v>
      </c>
      <c r="J816" s="1016" t="s">
        <v>190</v>
      </c>
      <c r="K816" s="1012">
        <f>INT(H816*F816)</f>
        <v>824</v>
      </c>
      <c r="L816" s="667" t="s">
        <v>238</v>
      </c>
      <c r="M816" s="667" t="s">
        <v>1864</v>
      </c>
      <c r="O816" s="1261" t="s">
        <v>1141</v>
      </c>
      <c r="P816" s="1252">
        <f>P815</f>
        <v>10</v>
      </c>
      <c r="Q816" s="1252">
        <f>(0.15*0.3*P816)+(0.3*0.15*P816)</f>
        <v>0.89999999999999991</v>
      </c>
      <c r="R816" s="1252">
        <f>R815*0.05*P816</f>
        <v>1</v>
      </c>
      <c r="S816" s="1252">
        <f>(0.15*0.45*P816)+(0.5*0.6*P816)</f>
        <v>3.6749999999999998</v>
      </c>
      <c r="T816" s="1260">
        <f>ROUNDDOWN(Q816+R816+S816,2)</f>
        <v>5.57</v>
      </c>
      <c r="U816" s="1139" t="s">
        <v>6</v>
      </c>
    </row>
    <row r="817" spans="2:21" hidden="1">
      <c r="B817" s="1071"/>
      <c r="C817" s="1148" t="s">
        <v>253</v>
      </c>
      <c r="D817" s="1255"/>
      <c r="E817" s="1012"/>
      <c r="F817" s="1071">
        <f>T817</f>
        <v>4.99</v>
      </c>
      <c r="G817" s="1257" t="s">
        <v>251</v>
      </c>
      <c r="H817" s="1012">
        <f>M1216</f>
        <v>2262</v>
      </c>
      <c r="I817" s="1012" t="s">
        <v>238</v>
      </c>
      <c r="J817" s="1016" t="s">
        <v>190</v>
      </c>
      <c r="K817" s="1012">
        <f>INT(H817*F817)</f>
        <v>11287</v>
      </c>
      <c r="L817" s="667" t="s">
        <v>238</v>
      </c>
      <c r="M817" s="667" t="s">
        <v>239</v>
      </c>
      <c r="O817" s="1261" t="s">
        <v>1142</v>
      </c>
      <c r="P817" s="1252">
        <f>P816</f>
        <v>10</v>
      </c>
      <c r="Q817" s="1252">
        <f>(0.15*0.3*P817)+(0.3*0.15*P817)</f>
        <v>0.89999999999999991</v>
      </c>
      <c r="R817" s="1252">
        <f>(R815*0.1*P817)</f>
        <v>2</v>
      </c>
      <c r="S817" s="1252">
        <f>(0.52*0.1*P817)+(1.05*0.15*P817)</f>
        <v>2.0949999999999998</v>
      </c>
      <c r="T817" s="1260">
        <f>ROUNDDOWN(Q817+R817+S817,2)</f>
        <v>4.99</v>
      </c>
      <c r="U817" s="1139" t="s">
        <v>6</v>
      </c>
    </row>
    <row r="818" spans="2:21" hidden="1">
      <c r="B818" s="1071"/>
      <c r="C818" s="1148" t="s">
        <v>260</v>
      </c>
      <c r="D818" s="1255"/>
      <c r="E818" s="1012"/>
      <c r="F818" s="1071">
        <f>T818</f>
        <v>4.5199999999999996</v>
      </c>
      <c r="G818" s="1257" t="s">
        <v>255</v>
      </c>
      <c r="H818" s="1012">
        <f>K1471</f>
        <v>227</v>
      </c>
      <c r="I818" s="1012" t="s">
        <v>238</v>
      </c>
      <c r="J818" s="1016" t="s">
        <v>190</v>
      </c>
      <c r="K818" s="1012">
        <f>INT(H818*F818)</f>
        <v>1026</v>
      </c>
      <c r="L818" s="667" t="s">
        <v>238</v>
      </c>
      <c r="M818" s="667" t="s">
        <v>244</v>
      </c>
      <c r="O818" s="1261" t="s">
        <v>1143</v>
      </c>
      <c r="P818" s="1252">
        <f>P817</f>
        <v>10</v>
      </c>
      <c r="Q818" s="1252">
        <f>(0.1*2)</f>
        <v>0.2</v>
      </c>
      <c r="R818" s="1252">
        <f>(R815*0.1*2)</f>
        <v>0.4</v>
      </c>
      <c r="S818" s="1252">
        <f>(0.21*2)</f>
        <v>0.42</v>
      </c>
      <c r="T818" s="1260">
        <f>ROUNDDOWN(Q818+(0.1*P818)+R818+(0.1*P818)+S818+(0.15*P818),2)</f>
        <v>4.5199999999999996</v>
      </c>
      <c r="U818" s="1139" t="s">
        <v>7</v>
      </c>
    </row>
    <row r="819" spans="2:21" hidden="1">
      <c r="B819" s="1071"/>
      <c r="C819" s="1148" t="s">
        <v>5</v>
      </c>
      <c r="D819" s="1255"/>
      <c r="E819" s="1012"/>
      <c r="F819" s="1071"/>
      <c r="G819" s="1257"/>
      <c r="H819" s="1012"/>
      <c r="I819" s="1258"/>
      <c r="J819" s="1016"/>
      <c r="K819" s="1012"/>
      <c r="L819" s="667"/>
      <c r="M819" s="667"/>
      <c r="O819" s="1262" t="s">
        <v>1144</v>
      </c>
      <c r="P819" s="1263"/>
      <c r="Q819" s="1100"/>
      <c r="R819" s="1100"/>
      <c r="S819" s="1118"/>
      <c r="T819" s="1264"/>
      <c r="U819" s="1139"/>
    </row>
    <row r="820" spans="2:21" hidden="1">
      <c r="B820" s="1071"/>
      <c r="C820" s="1148" t="s">
        <v>256</v>
      </c>
      <c r="D820" s="1255"/>
      <c r="E820" s="1012"/>
      <c r="F820" s="1265">
        <f>T820</f>
        <v>179.066</v>
      </c>
      <c r="G820" s="1257" t="s">
        <v>242</v>
      </c>
      <c r="H820" s="1012">
        <f>J1322</f>
        <v>21.43</v>
      </c>
      <c r="I820" s="1012" t="s">
        <v>238</v>
      </c>
      <c r="J820" s="1016" t="s">
        <v>190</v>
      </c>
      <c r="K820" s="1012">
        <f>INT(H820*F820)</f>
        <v>3837</v>
      </c>
      <c r="L820" s="667" t="s">
        <v>238</v>
      </c>
      <c r="M820" s="667" t="s">
        <v>236</v>
      </c>
      <c r="O820" s="1266" t="s">
        <v>892</v>
      </c>
      <c r="P820" s="1267">
        <f>P818</f>
        <v>10</v>
      </c>
      <c r="Q820" s="1268">
        <f>((3*P820)+((INT(P820/0.25)+1)*0.75))</f>
        <v>60.75</v>
      </c>
      <c r="R820" s="1268">
        <f>((INT(R815/0.25)+1)*P820)+((INT(P820/0.25)+1)*R815)</f>
        <v>172</v>
      </c>
      <c r="S820" s="1268">
        <f>(4*P820)+(2*(INT(P820/0.25)+1)*1.05)</f>
        <v>126.10000000000001</v>
      </c>
      <c r="T820" s="1269">
        <f>ROUNDDOWN(0.499*(Q820+R820+S820),3)</f>
        <v>179.066</v>
      </c>
      <c r="U820" s="1270" t="s">
        <v>46</v>
      </c>
    </row>
    <row r="821" spans="2:21" hidden="1">
      <c r="B821" s="1071"/>
      <c r="C821" s="1172" t="s">
        <v>8</v>
      </c>
      <c r="D821" s="1271"/>
      <c r="E821" s="1012"/>
      <c r="F821" s="1265">
        <f>F820</f>
        <v>179.066</v>
      </c>
      <c r="G821" s="1257" t="s">
        <v>242</v>
      </c>
      <c r="H821" s="1097">
        <f>ROUNDDOWN(IF(F821=0,0,IF(F821/1000&gt;100,2900/1000,3300/1000)),2)</f>
        <v>3.3</v>
      </c>
      <c r="I821" s="1012" t="s">
        <v>238</v>
      </c>
      <c r="J821" s="1016" t="s">
        <v>190</v>
      </c>
      <c r="K821" s="1012">
        <f>INT(H821*F821)</f>
        <v>590</v>
      </c>
      <c r="L821" s="667" t="s">
        <v>238</v>
      </c>
      <c r="M821" s="667" t="s">
        <v>1865</v>
      </c>
      <c r="O821" s="1139"/>
      <c r="P821" s="1145"/>
      <c r="Q821" s="1144"/>
      <c r="R821" s="1144"/>
      <c r="S821" s="1145"/>
      <c r="T821" s="1272"/>
      <c r="U821" s="1139"/>
    </row>
    <row r="822" spans="2:21" hidden="1">
      <c r="B822" s="1071"/>
      <c r="C822" s="1172" t="s">
        <v>384</v>
      </c>
      <c r="D822" s="1255"/>
      <c r="E822" s="1012"/>
      <c r="F822" s="1071">
        <f>ROUNDDOWN(F821*0.025,2)</f>
        <v>4.47</v>
      </c>
      <c r="G822" s="1257" t="s">
        <v>242</v>
      </c>
      <c r="H822" s="1012">
        <f>ข้อมูลแหล่งราคาวัสดุ!D54</f>
        <v>19.739999999999998</v>
      </c>
      <c r="I822" s="1012" t="s">
        <v>238</v>
      </c>
      <c r="J822" s="1016" t="s">
        <v>190</v>
      </c>
      <c r="K822" s="1012">
        <f>INT(H822*F822)</f>
        <v>88</v>
      </c>
      <c r="L822" s="667" t="s">
        <v>238</v>
      </c>
      <c r="M822" s="667" t="s">
        <v>246</v>
      </c>
      <c r="O822" s="1139"/>
      <c r="P822" s="1145"/>
      <c r="Q822" s="1144"/>
      <c r="R822" s="1144"/>
      <c r="S822" s="1145"/>
      <c r="T822" s="1272"/>
      <c r="U822" s="1139"/>
    </row>
    <row r="823" spans="2:21" hidden="1">
      <c r="B823" s="1071"/>
      <c r="C823" s="1148" t="s">
        <v>385</v>
      </c>
      <c r="D823" s="1255"/>
      <c r="E823" s="1012"/>
      <c r="F823" s="1071">
        <f>T823</f>
        <v>0.22</v>
      </c>
      <c r="G823" s="1257" t="s">
        <v>251</v>
      </c>
      <c r="H823" s="1012">
        <f>J1178</f>
        <v>443.44</v>
      </c>
      <c r="I823" s="1012" t="s">
        <v>238</v>
      </c>
      <c r="J823" s="1016" t="s">
        <v>190</v>
      </c>
      <c r="K823" s="1012">
        <f>INT(H823*F823)</f>
        <v>97</v>
      </c>
      <c r="L823" s="667" t="s">
        <v>238</v>
      </c>
      <c r="M823" s="667" t="s">
        <v>247</v>
      </c>
      <c r="O823" s="1261" t="s">
        <v>1145</v>
      </c>
      <c r="P823" s="1252">
        <f>P820</f>
        <v>10</v>
      </c>
      <c r="Q823" s="1252">
        <v>0</v>
      </c>
      <c r="R823" s="1252">
        <f>((INT(S813)/2)*INT(P823/3))*(0.5*0.5*0.3)</f>
        <v>0.22499999999999998</v>
      </c>
      <c r="S823" s="1252">
        <v>0</v>
      </c>
      <c r="T823" s="1260">
        <f>ROUNDDOWN(Q823+R823+S823,2)</f>
        <v>0.22</v>
      </c>
      <c r="U823" s="1139" t="s">
        <v>6</v>
      </c>
    </row>
    <row r="824" spans="2:21" hidden="1">
      <c r="B824" s="1071"/>
      <c r="C824" s="1148" t="s">
        <v>386</v>
      </c>
      <c r="D824" s="1255"/>
      <c r="E824" s="1012"/>
      <c r="F824" s="1071">
        <f>T824</f>
        <v>20</v>
      </c>
      <c r="G824" s="1257" t="s">
        <v>245</v>
      </c>
      <c r="H824" s="1012">
        <f>ข้อมูลแหล่งราคาวัสดุ!D85/1000</f>
        <v>27.1</v>
      </c>
      <c r="I824" s="1012" t="s">
        <v>238</v>
      </c>
      <c r="J824" s="1016" t="s">
        <v>190</v>
      </c>
      <c r="K824" s="1012">
        <f>INT(H824*F824)</f>
        <v>542</v>
      </c>
      <c r="L824" s="667" t="s">
        <v>238</v>
      </c>
      <c r="M824" s="667" t="s">
        <v>262</v>
      </c>
      <c r="O824" s="1261" t="s">
        <v>1080</v>
      </c>
      <c r="P824" s="1252">
        <f>P823</f>
        <v>10</v>
      </c>
      <c r="Q824" s="1273">
        <f>(0.01*0.1*P824)</f>
        <v>0.01</v>
      </c>
      <c r="R824" s="1273">
        <f>((P813-1)*0.006*0.035*P824)</f>
        <v>0</v>
      </c>
      <c r="S824" s="1273">
        <f>(0.01*0.1*P824)</f>
        <v>0.01</v>
      </c>
      <c r="T824" s="1260">
        <f>ROUNDDOWN(1000*(Q824+R824+S824),2)</f>
        <v>20</v>
      </c>
      <c r="U824" s="1139" t="s">
        <v>1146</v>
      </c>
    </row>
    <row r="825" spans="2:21" hidden="1">
      <c r="B825" s="1071"/>
      <c r="C825" s="1245" t="s">
        <v>195</v>
      </c>
      <c r="D825" s="1274"/>
      <c r="E825" s="1011"/>
      <c r="F825" s="1012"/>
      <c r="G825" s="1011"/>
      <c r="H825" s="1011"/>
      <c r="I825" s="1012"/>
      <c r="J825" s="1016" t="s">
        <v>190</v>
      </c>
      <c r="K825" s="1067">
        <f>SUM(K816:K824)</f>
        <v>18291</v>
      </c>
      <c r="L825" s="667" t="s">
        <v>238</v>
      </c>
      <c r="M825" s="667" t="s">
        <v>263</v>
      </c>
    </row>
    <row r="826" spans="2:21" ht="22.5" hidden="1" thickBot="1">
      <c r="B826" s="1071"/>
      <c r="C826" s="1245" t="s">
        <v>413</v>
      </c>
      <c r="D826" s="1255"/>
      <c r="E826" s="1011"/>
      <c r="F826" s="1011">
        <f>K825</f>
        <v>18291</v>
      </c>
      <c r="G826" s="1275" t="s">
        <v>241</v>
      </c>
      <c r="H826" s="1011">
        <f>F815</f>
        <v>25</v>
      </c>
      <c r="I826" s="1012"/>
      <c r="J826" s="1016" t="s">
        <v>190</v>
      </c>
      <c r="K826" s="1025">
        <f>ROUNDDOWN(F826/H826,0)</f>
        <v>731</v>
      </c>
      <c r="L826" s="667" t="s">
        <v>191</v>
      </c>
      <c r="N826" s="667" t="s">
        <v>265</v>
      </c>
    </row>
    <row r="827" spans="2:21" ht="22.5" hidden="1" thickTop="1">
      <c r="B827" s="1071"/>
      <c r="C827" s="1245"/>
      <c r="D827" s="1255"/>
      <c r="E827" s="1011"/>
      <c r="F827" s="1011"/>
      <c r="G827" s="1275"/>
      <c r="H827" s="1011"/>
      <c r="I827" s="1012"/>
      <c r="J827" s="1016"/>
      <c r="K827" s="1070"/>
      <c r="L827" s="667"/>
      <c r="N827" s="667"/>
    </row>
    <row r="828" spans="2:21" hidden="1">
      <c r="B828" s="1253">
        <f>ปร.4_1!B161</f>
        <v>7.2</v>
      </c>
      <c r="C828" s="1254" t="str">
        <f>ปร.4_1!C161</f>
        <v>งานติดตั้งกล่องลวดบรรจุหินใหญ่ (Gabion) และแผ่นใยสังเคราะห์ (Geotextile)</v>
      </c>
      <c r="P828" s="976"/>
      <c r="S828" s="976"/>
    </row>
    <row r="829" spans="2:21" hidden="1">
      <c r="B829" s="1276" t="str">
        <f>ปร.4_1!C162</f>
        <v>7.2.1</v>
      </c>
      <c r="C829" s="1234" t="str">
        <f>ปร.4_1!D162</f>
        <v>งานติดตั้งกล่องลวดบรรจุหินใหญ่ (GABION)</v>
      </c>
      <c r="Q829" s="738" t="s">
        <v>1199</v>
      </c>
      <c r="R829" s="738" t="s">
        <v>16</v>
      </c>
      <c r="S829" s="745" t="s">
        <v>1745</v>
      </c>
    </row>
    <row r="830" spans="2:21" hidden="1">
      <c r="B830" s="1234" t="str">
        <f>ปร.4_1!C163</f>
        <v>7.2.1(1)</v>
      </c>
      <c r="C830" s="1234" t="str">
        <f>"ขนาดกล่องลวดตาข่ายบรรจุหินใหญ่ (GABIONS SIZE) "&amp;FIXED(Q830,2)&amp;" x "&amp;FIXED(R830,2)&amp;" x "&amp;FIXED(S830,2)&amp;" m."</f>
        <v>ขนาดกล่องลวดตาข่ายบรรจุหินใหญ่ (GABIONS SIZE) 3.00 x 1.00 x 1.00 m.</v>
      </c>
      <c r="O830" s="976" t="s">
        <v>1746</v>
      </c>
      <c r="Q830" s="745">
        <v>3</v>
      </c>
      <c r="R830" s="745">
        <v>1</v>
      </c>
      <c r="S830" s="745">
        <v>1</v>
      </c>
    </row>
    <row r="831" spans="2:21" hidden="1">
      <c r="B831" s="1011"/>
      <c r="C831" s="1011" t="s">
        <v>1747</v>
      </c>
      <c r="J831" s="1016" t="s">
        <v>190</v>
      </c>
      <c r="K831" s="997">
        <f>ข้อมูลแหล่งราคาวัสดุ!D93</f>
        <v>3737.2</v>
      </c>
      <c r="L831" s="976" t="s">
        <v>238</v>
      </c>
      <c r="M831" s="976" t="s">
        <v>193</v>
      </c>
    </row>
    <row r="832" spans="2:21" hidden="1">
      <c r="B832" s="1011"/>
      <c r="C832" s="1011" t="s">
        <v>136</v>
      </c>
      <c r="D832" s="1039">
        <f>ข้อมูลแหล่งราคาวัสดุ!H93</f>
        <v>73</v>
      </c>
      <c r="E832" s="997" t="s">
        <v>181</v>
      </c>
      <c r="J832" s="1016" t="s">
        <v>190</v>
      </c>
      <c r="K832" s="997">
        <f>ข้อมูลแหล่งราคาวัสดุ!I93</f>
        <v>162.07</v>
      </c>
      <c r="L832" s="976" t="s">
        <v>238</v>
      </c>
      <c r="M832" s="976" t="s">
        <v>200</v>
      </c>
    </row>
    <row r="833" spans="2:19" hidden="1">
      <c r="B833" s="1011"/>
      <c r="C833" s="1011" t="s">
        <v>1748</v>
      </c>
      <c r="J833" s="1016" t="s">
        <v>190</v>
      </c>
      <c r="K833" s="997">
        <f>SUM(K831:K832)*0.3</f>
        <v>1169.7809999999999</v>
      </c>
      <c r="L833" s="976" t="s">
        <v>238</v>
      </c>
      <c r="M833" s="976" t="s">
        <v>1749</v>
      </c>
    </row>
    <row r="834" spans="2:19" hidden="1">
      <c r="B834" s="1011"/>
      <c r="C834" s="1011" t="s">
        <v>1750</v>
      </c>
      <c r="J834" s="1016" t="s">
        <v>190</v>
      </c>
      <c r="K834" s="1067">
        <f>SUM(K831:K833)</f>
        <v>5069.0509999999995</v>
      </c>
      <c r="L834" s="976" t="s">
        <v>238</v>
      </c>
      <c r="M834" s="976" t="s">
        <v>216</v>
      </c>
    </row>
    <row r="835" spans="2:19" ht="22.5" hidden="1" thickBot="1">
      <c r="B835" s="1011"/>
      <c r="C835" s="1011" t="s">
        <v>332</v>
      </c>
      <c r="J835" s="1016" t="s">
        <v>190</v>
      </c>
      <c r="K835" s="1025">
        <f>ROUNDDOWN(K834,0)</f>
        <v>5069</v>
      </c>
      <c r="L835" s="976" t="s">
        <v>1724</v>
      </c>
      <c r="N835" s="976" t="s">
        <v>274</v>
      </c>
    </row>
    <row r="836" spans="2:19" ht="22.5" hidden="1" thickTop="1">
      <c r="B836" s="1011"/>
      <c r="C836" s="1011"/>
      <c r="Q836" s="738" t="s">
        <v>1199</v>
      </c>
      <c r="R836" s="738" t="s">
        <v>16</v>
      </c>
      <c r="S836" s="745" t="s">
        <v>1745</v>
      </c>
    </row>
    <row r="837" spans="2:19" hidden="1">
      <c r="B837" s="1234" t="str">
        <f>ปร.4_1!C164</f>
        <v>7.2.1(2)</v>
      </c>
      <c r="C837" s="1234" t="str">
        <f>"ขนาดกล่องลวดตาข่ายบรรจุหินใหญ่ (GABIONS SIZE) "&amp;FIXED(Q837,2)&amp;" x "&amp;FIXED(R837,2)&amp;" x "&amp;FIXED(S837,2)&amp;" m."</f>
        <v>ขนาดกล่องลวดตาข่ายบรรจุหินใหญ่ (GABIONS SIZE) 2.00 x 1.00 x 1.00 m.</v>
      </c>
      <c r="O837" s="976" t="s">
        <v>1746</v>
      </c>
      <c r="Q837" s="745">
        <v>2</v>
      </c>
      <c r="R837" s="745">
        <v>1</v>
      </c>
      <c r="S837" s="745">
        <v>1</v>
      </c>
    </row>
    <row r="838" spans="2:19" hidden="1">
      <c r="B838" s="1011"/>
      <c r="C838" s="1011" t="s">
        <v>1747</v>
      </c>
      <c r="J838" s="1016" t="s">
        <v>190</v>
      </c>
      <c r="K838" s="997">
        <f>ข้อมูลแหล่งราคาวัสดุ!D94</f>
        <v>2140</v>
      </c>
      <c r="L838" s="976" t="s">
        <v>238</v>
      </c>
      <c r="M838" s="976" t="s">
        <v>193</v>
      </c>
    </row>
    <row r="839" spans="2:19" hidden="1">
      <c r="B839" s="1011"/>
      <c r="C839" s="1011" t="s">
        <v>136</v>
      </c>
      <c r="D839" s="1039">
        <f>ข้อมูลแหล่งราคาวัสดุ!H94</f>
        <v>73</v>
      </c>
      <c r="E839" s="997" t="s">
        <v>181</v>
      </c>
      <c r="J839" s="1016" t="s">
        <v>190</v>
      </c>
      <c r="K839" s="997">
        <f>ข้อมูลแหล่งราคาวัสดุ!I94</f>
        <v>162.07</v>
      </c>
      <c r="L839" s="976" t="s">
        <v>238</v>
      </c>
      <c r="M839" s="976" t="s">
        <v>200</v>
      </c>
    </row>
    <row r="840" spans="2:19" hidden="1">
      <c r="B840" s="1011"/>
      <c r="C840" s="1011" t="s">
        <v>1748</v>
      </c>
      <c r="J840" s="1016" t="s">
        <v>190</v>
      </c>
      <c r="K840" s="997">
        <f>SUM(K838:K839)*0.3</f>
        <v>690.62099999999998</v>
      </c>
      <c r="L840" s="976" t="s">
        <v>238</v>
      </c>
      <c r="M840" s="976" t="s">
        <v>1749</v>
      </c>
    </row>
    <row r="841" spans="2:19" hidden="1">
      <c r="B841" s="1011"/>
      <c r="C841" s="1011" t="s">
        <v>1750</v>
      </c>
      <c r="J841" s="1016" t="s">
        <v>190</v>
      </c>
      <c r="K841" s="1067">
        <f>SUM(K838:K840)</f>
        <v>2992.6910000000003</v>
      </c>
      <c r="L841" s="976" t="s">
        <v>238</v>
      </c>
      <c r="M841" s="976" t="s">
        <v>216</v>
      </c>
    </row>
    <row r="842" spans="2:19" ht="22.5" hidden="1" thickBot="1">
      <c r="B842" s="1011"/>
      <c r="C842" s="1011" t="s">
        <v>332</v>
      </c>
      <c r="J842" s="1016" t="s">
        <v>190</v>
      </c>
      <c r="K842" s="1025">
        <f>ROUNDDOWN(K841,0)</f>
        <v>2992</v>
      </c>
      <c r="L842" s="976" t="s">
        <v>1724</v>
      </c>
      <c r="N842" s="976" t="s">
        <v>274</v>
      </c>
    </row>
    <row r="843" spans="2:19" ht="22.5" hidden="1" thickTop="1">
      <c r="B843" s="1011"/>
      <c r="C843" s="1011"/>
      <c r="Q843" s="738" t="s">
        <v>1199</v>
      </c>
      <c r="R843" s="738" t="s">
        <v>16</v>
      </c>
      <c r="S843" s="745" t="s">
        <v>1745</v>
      </c>
    </row>
    <row r="844" spans="2:19" hidden="1">
      <c r="B844" s="1234" t="str">
        <f>ปร.4_1!C165</f>
        <v>7.2.1(3)</v>
      </c>
      <c r="C844" s="1234" t="str">
        <f>"ขนาดกล่องลวดตาข่ายบรรจุหินใหญ่ (GABIONS SIZE) "&amp;FIXED(Q844,2)&amp;" x "&amp;FIXED(R844,2)&amp;" x "&amp;FIXED(S844,2)&amp;" m."</f>
        <v>ขนาดกล่องลวดตาข่ายบรรจุหินใหญ่ (GABIONS SIZE) 2.00 x 1.00 x 0.50 m.</v>
      </c>
      <c r="O844" s="976" t="s">
        <v>1746</v>
      </c>
      <c r="Q844" s="745">
        <v>2</v>
      </c>
      <c r="R844" s="745">
        <v>1</v>
      </c>
      <c r="S844" s="745">
        <v>0.5</v>
      </c>
    </row>
    <row r="845" spans="2:19" hidden="1">
      <c r="B845" s="1011"/>
      <c r="C845" s="1011" t="s">
        <v>1747</v>
      </c>
      <c r="J845" s="1016" t="s">
        <v>190</v>
      </c>
      <c r="K845" s="997">
        <f>ข้อมูลแหล่งราคาวัสดุ!D95</f>
        <v>1600</v>
      </c>
      <c r="L845" s="976" t="s">
        <v>238</v>
      </c>
      <c r="M845" s="976" t="s">
        <v>193</v>
      </c>
    </row>
    <row r="846" spans="2:19" hidden="1">
      <c r="B846" s="1011"/>
      <c r="C846" s="1011" t="s">
        <v>136</v>
      </c>
      <c r="D846" s="1039">
        <f>ข้อมูลแหล่งราคาวัสดุ!H95</f>
        <v>73</v>
      </c>
      <c r="E846" s="997" t="s">
        <v>181</v>
      </c>
      <c r="J846" s="1016" t="s">
        <v>190</v>
      </c>
      <c r="K846" s="997">
        <f>ข้อมูลแหล่งราคาวัสดุ!I95</f>
        <v>162.07</v>
      </c>
      <c r="L846" s="976" t="s">
        <v>238</v>
      </c>
      <c r="M846" s="976" t="s">
        <v>200</v>
      </c>
    </row>
    <row r="847" spans="2:19" hidden="1">
      <c r="B847" s="1011"/>
      <c r="C847" s="1011" t="s">
        <v>1748</v>
      </c>
      <c r="J847" s="1016" t="s">
        <v>190</v>
      </c>
      <c r="K847" s="997">
        <f>SUM(K845:K846)*0.3</f>
        <v>528.62099999999998</v>
      </c>
      <c r="L847" s="976" t="s">
        <v>238</v>
      </c>
      <c r="M847" s="976" t="s">
        <v>1749</v>
      </c>
    </row>
    <row r="848" spans="2:19" hidden="1">
      <c r="B848" s="1011"/>
      <c r="C848" s="1011" t="s">
        <v>1750</v>
      </c>
      <c r="J848" s="1016" t="s">
        <v>190</v>
      </c>
      <c r="K848" s="1067">
        <f>SUM(K845:K847)</f>
        <v>2290.6909999999998</v>
      </c>
      <c r="L848" s="976" t="s">
        <v>238</v>
      </c>
      <c r="M848" s="976" t="s">
        <v>216</v>
      </c>
    </row>
    <row r="849" spans="2:14" ht="22.5" hidden="1" thickBot="1">
      <c r="B849" s="1011"/>
      <c r="C849" s="1011" t="s">
        <v>332</v>
      </c>
      <c r="J849" s="1016" t="s">
        <v>190</v>
      </c>
      <c r="K849" s="1025">
        <f>ROUNDDOWN(K848,0)</f>
        <v>2290</v>
      </c>
      <c r="L849" s="976" t="s">
        <v>1724</v>
      </c>
      <c r="N849" s="976" t="s">
        <v>274</v>
      </c>
    </row>
    <row r="850" spans="2:14" ht="22.5" hidden="1" thickTop="1">
      <c r="B850" s="1011"/>
      <c r="C850" s="1011"/>
    </row>
    <row r="851" spans="2:14" hidden="1">
      <c r="B851" s="1276" t="str">
        <f>ปร.4_1!C166</f>
        <v>7.2.2</v>
      </c>
      <c r="C851" s="1234" t="str">
        <f>ปร.4_1!D166</f>
        <v>งานหินใหญ่สำหรับบรรจุในกล่องลวดตาข่ายบรรจุหินใหญ่</v>
      </c>
    </row>
    <row r="852" spans="2:14" hidden="1">
      <c r="C852" s="997" t="s">
        <v>1751</v>
      </c>
      <c r="J852" s="1016" t="s">
        <v>190</v>
      </c>
      <c r="K852" s="997">
        <f>ข้อมูลแหล่งราคาวัสดุ!D23</f>
        <v>308.41000000000003</v>
      </c>
      <c r="L852" s="976" t="s">
        <v>238</v>
      </c>
      <c r="M852" s="976" t="s">
        <v>193</v>
      </c>
    </row>
    <row r="853" spans="2:14" hidden="1">
      <c r="B853" s="1011"/>
      <c r="C853" s="1011" t="s">
        <v>1752</v>
      </c>
      <c r="J853" s="1016" t="s">
        <v>190</v>
      </c>
      <c r="K853" s="997">
        <f>ค่าดำเนินการ!H22</f>
        <v>31.27</v>
      </c>
      <c r="L853" s="976" t="s">
        <v>238</v>
      </c>
      <c r="M853" s="976" t="s">
        <v>214</v>
      </c>
    </row>
    <row r="854" spans="2:14" hidden="1">
      <c r="B854" s="1011"/>
      <c r="C854" s="1011" t="s">
        <v>136</v>
      </c>
      <c r="D854" s="1039">
        <f>ข้อมูลแหล่งราคาวัสดุ!H23</f>
        <v>20</v>
      </c>
      <c r="E854" s="997" t="s">
        <v>181</v>
      </c>
      <c r="J854" s="1016" t="s">
        <v>190</v>
      </c>
      <c r="K854" s="997">
        <f>ข้อมูลแหล่งราคาวัสดุ!I23</f>
        <v>63.44</v>
      </c>
      <c r="L854" s="976" t="s">
        <v>238</v>
      </c>
      <c r="M854" s="976" t="s">
        <v>215</v>
      </c>
    </row>
    <row r="855" spans="2:14" hidden="1">
      <c r="B855" s="1011"/>
      <c r="C855" s="1011" t="s">
        <v>1753</v>
      </c>
      <c r="J855" s="1016" t="s">
        <v>190</v>
      </c>
      <c r="K855" s="1067">
        <f>SUM(K852:K854)</f>
        <v>403.12</v>
      </c>
      <c r="L855" s="976" t="s">
        <v>238</v>
      </c>
      <c r="M855" s="976" t="s">
        <v>216</v>
      </c>
    </row>
    <row r="856" spans="2:14" hidden="1">
      <c r="B856" s="1011"/>
      <c r="C856" s="1011"/>
      <c r="E856" s="1277" t="s">
        <v>1754</v>
      </c>
      <c r="F856" s="997">
        <v>1.1499999999999999</v>
      </c>
      <c r="J856" s="1016" t="s">
        <v>190</v>
      </c>
      <c r="K856" s="997">
        <f>K855*1.15</f>
        <v>463.58799999999997</v>
      </c>
      <c r="L856" s="976" t="s">
        <v>238</v>
      </c>
      <c r="M856" s="976" t="s">
        <v>1755</v>
      </c>
    </row>
    <row r="857" spans="2:14" hidden="1">
      <c r="B857" s="1011"/>
      <c r="C857" s="1011" t="s">
        <v>1756</v>
      </c>
      <c r="J857" s="1016" t="s">
        <v>190</v>
      </c>
      <c r="K857" s="997">
        <f>K856*0.3</f>
        <v>139.07639999999998</v>
      </c>
      <c r="L857" s="976" t="s">
        <v>238</v>
      </c>
      <c r="M857" s="976" t="s">
        <v>1757</v>
      </c>
    </row>
    <row r="858" spans="2:14" hidden="1">
      <c r="B858" s="1011"/>
      <c r="C858" s="1011" t="s">
        <v>1542</v>
      </c>
      <c r="J858" s="1016" t="s">
        <v>190</v>
      </c>
      <c r="K858" s="1067">
        <f>SUM(K856:K857)</f>
        <v>602.66439999999989</v>
      </c>
      <c r="L858" s="976" t="s">
        <v>238</v>
      </c>
      <c r="M858" s="976" t="s">
        <v>1758</v>
      </c>
    </row>
    <row r="859" spans="2:14" ht="22.5" hidden="1" thickBot="1">
      <c r="B859" s="1011"/>
      <c r="C859" s="1011" t="s">
        <v>332</v>
      </c>
      <c r="J859" s="1016" t="s">
        <v>190</v>
      </c>
      <c r="K859" s="1025">
        <f>ROUNDDOWN(K858,0)</f>
        <v>602</v>
      </c>
      <c r="L859" s="976" t="s">
        <v>183</v>
      </c>
      <c r="N859" s="976" t="s">
        <v>1759</v>
      </c>
    </row>
    <row r="860" spans="2:14" ht="22.5" hidden="1" thickTop="1">
      <c r="B860" s="1011"/>
      <c r="C860" s="1011"/>
    </row>
    <row r="861" spans="2:14" hidden="1">
      <c r="B861" s="1276" t="str">
        <f>ปร.4_1!C167</f>
        <v>7.2.3</v>
      </c>
      <c r="C861" s="1234" t="str">
        <f>ปร.4_1!D167</f>
        <v>งานแผ่นใยสังเคราะห์ (GEOTEXTILE)</v>
      </c>
    </row>
    <row r="862" spans="2:14" hidden="1">
      <c r="B862" s="1011"/>
      <c r="C862" s="1011" t="s">
        <v>1760</v>
      </c>
      <c r="J862" s="1016" t="s">
        <v>190</v>
      </c>
      <c r="K862" s="997">
        <f>ข้อมูลแหล่งราคาวัสดุ!D96</f>
        <v>50</v>
      </c>
      <c r="L862" s="976" t="s">
        <v>238</v>
      </c>
      <c r="M862" s="976" t="s">
        <v>193</v>
      </c>
    </row>
    <row r="863" spans="2:14" hidden="1">
      <c r="B863" s="1011"/>
      <c r="C863" s="1011" t="s">
        <v>136</v>
      </c>
      <c r="D863" s="1039">
        <f>ข้อมูลแหล่งราคาวัสดุ!H96</f>
        <v>73</v>
      </c>
      <c r="E863" s="997" t="s">
        <v>181</v>
      </c>
      <c r="J863" s="1016" t="s">
        <v>190</v>
      </c>
      <c r="K863" s="997">
        <f>ข้อมูลแหล่งราคาวัสดุ!I96</f>
        <v>162.07</v>
      </c>
      <c r="L863" s="976" t="s">
        <v>238</v>
      </c>
      <c r="M863" s="976" t="s">
        <v>200</v>
      </c>
    </row>
    <row r="864" spans="2:14" hidden="1">
      <c r="B864" s="1011"/>
      <c r="C864" s="1011" t="s">
        <v>1761</v>
      </c>
      <c r="J864" s="1016" t="s">
        <v>190</v>
      </c>
      <c r="K864" s="997">
        <f>SUM(K862:K863)*0.1</f>
        <v>21.207000000000001</v>
      </c>
      <c r="L864" s="976" t="s">
        <v>238</v>
      </c>
      <c r="M864" s="976" t="s">
        <v>1762</v>
      </c>
    </row>
    <row r="865" spans="2:14" hidden="1">
      <c r="B865" s="1011"/>
      <c r="C865" s="1011" t="s">
        <v>1763</v>
      </c>
      <c r="J865" s="1016" t="s">
        <v>190</v>
      </c>
      <c r="K865" s="1067">
        <f>SUM(K862:K864)</f>
        <v>233.27699999999999</v>
      </c>
      <c r="L865" s="976" t="s">
        <v>238</v>
      </c>
      <c r="M865" s="976" t="s">
        <v>216</v>
      </c>
    </row>
    <row r="866" spans="2:14" ht="22.5" hidden="1" thickBot="1">
      <c r="B866" s="1011"/>
      <c r="C866" s="1011" t="s">
        <v>332</v>
      </c>
      <c r="J866" s="1016" t="s">
        <v>190</v>
      </c>
      <c r="K866" s="1025">
        <f>ROUNDDOWN(K865,0)</f>
        <v>233</v>
      </c>
      <c r="L866" s="976" t="s">
        <v>191</v>
      </c>
    </row>
    <row r="867" spans="2:14" ht="22.5" hidden="1" thickTop="1">
      <c r="B867" s="1071"/>
      <c r="C867" s="1245"/>
      <c r="D867" s="1255"/>
      <c r="E867" s="1011"/>
      <c r="F867" s="1011"/>
      <c r="G867" s="1275"/>
      <c r="H867" s="1011"/>
      <c r="I867" s="1012"/>
      <c r="J867" s="1016"/>
      <c r="K867" s="1070"/>
      <c r="L867" s="667"/>
      <c r="N867" s="667"/>
    </row>
    <row r="868" spans="2:14" hidden="1">
      <c r="B868" s="1253">
        <f>ปร.4_1!B168</f>
        <v>7.3</v>
      </c>
      <c r="C868" s="1254" t="str">
        <f>ปร.4_1!C168</f>
        <v>งานหินเรียงป้องกันการกัดเซาะ (PLAIN RIP-RAP CONSTRUCTION)</v>
      </c>
      <c r="D868" s="1255"/>
      <c r="E868" s="1011"/>
      <c r="F868" s="1011"/>
      <c r="G868" s="1275"/>
      <c r="H868" s="1011"/>
      <c r="I868" s="1012"/>
      <c r="J868" s="1016"/>
      <c r="K868" s="1070"/>
      <c r="L868" s="667"/>
      <c r="N868" s="667"/>
    </row>
    <row r="869" spans="2:14" hidden="1">
      <c r="B869" s="1253"/>
      <c r="C869" s="997" t="s">
        <v>322</v>
      </c>
      <c r="D869" s="1039">
        <v>50</v>
      </c>
      <c r="E869" s="997" t="s">
        <v>1767</v>
      </c>
      <c r="G869" s="1039">
        <f>ปร.4_1!U168</f>
        <v>1</v>
      </c>
      <c r="H869" s="997" t="s">
        <v>744</v>
      </c>
      <c r="I869" s="976"/>
      <c r="J869" s="1016"/>
      <c r="N869" s="667"/>
    </row>
    <row r="870" spans="2:14" hidden="1">
      <c r="B870" s="1071"/>
      <c r="C870" s="997" t="s">
        <v>1751</v>
      </c>
      <c r="F870" s="1039">
        <f>D869*G869</f>
        <v>50</v>
      </c>
      <c r="G870" s="1257" t="s">
        <v>251</v>
      </c>
      <c r="H870" s="997">
        <f>ข้อมูลแหล่งราคาวัสดุ!D23</f>
        <v>308.41000000000003</v>
      </c>
      <c r="I870" s="997" t="s">
        <v>238</v>
      </c>
      <c r="J870" s="1016" t="s">
        <v>190</v>
      </c>
      <c r="K870" s="997">
        <f>F870*H870</f>
        <v>15420.500000000002</v>
      </c>
      <c r="L870" s="976" t="s">
        <v>238</v>
      </c>
      <c r="M870" s="976" t="s">
        <v>193</v>
      </c>
      <c r="N870" s="667"/>
    </row>
    <row r="871" spans="2:14" hidden="1">
      <c r="B871" s="1071"/>
      <c r="C871" s="1011" t="s">
        <v>1752</v>
      </c>
      <c r="F871" s="1039">
        <f>F870</f>
        <v>50</v>
      </c>
      <c r="G871" s="1257" t="s">
        <v>251</v>
      </c>
      <c r="H871" s="997">
        <f>ค่าดำเนินการ!H22</f>
        <v>31.27</v>
      </c>
      <c r="I871" s="997" t="s">
        <v>238</v>
      </c>
      <c r="J871" s="1016" t="s">
        <v>190</v>
      </c>
      <c r="K871" s="997">
        <f>F871*H871</f>
        <v>1563.5</v>
      </c>
      <c r="L871" s="976" t="s">
        <v>238</v>
      </c>
      <c r="M871" s="976" t="s">
        <v>214</v>
      </c>
      <c r="N871" s="667"/>
    </row>
    <row r="872" spans="2:14" hidden="1">
      <c r="B872" s="1071"/>
      <c r="C872" s="1011" t="s">
        <v>136</v>
      </c>
      <c r="D872" s="1039">
        <f>ข้อมูลแหล่งราคาวัสดุ!H23</f>
        <v>20</v>
      </c>
      <c r="E872" s="997" t="s">
        <v>181</v>
      </c>
      <c r="F872" s="1039">
        <f>F871</f>
        <v>50</v>
      </c>
      <c r="G872" s="1257" t="s">
        <v>251</v>
      </c>
      <c r="H872" s="997">
        <f>ข้อมูลแหล่งราคาวัสดุ!I23</f>
        <v>63.44</v>
      </c>
      <c r="I872" s="997" t="s">
        <v>238</v>
      </c>
      <c r="J872" s="1016" t="s">
        <v>190</v>
      </c>
      <c r="K872" s="997">
        <f>F872*H872</f>
        <v>3172</v>
      </c>
      <c r="L872" s="976" t="s">
        <v>238</v>
      </c>
      <c r="M872" s="976" t="s">
        <v>215</v>
      </c>
      <c r="N872" s="667"/>
    </row>
    <row r="873" spans="2:14" hidden="1">
      <c r="B873" s="1071"/>
      <c r="C873" s="1011" t="s">
        <v>1753</v>
      </c>
      <c r="J873" s="1016" t="s">
        <v>190</v>
      </c>
      <c r="K873" s="1067">
        <f>SUM(K870:K872)</f>
        <v>20156</v>
      </c>
      <c r="L873" s="976" t="s">
        <v>238</v>
      </c>
      <c r="M873" s="976" t="s">
        <v>216</v>
      </c>
      <c r="N873" s="667"/>
    </row>
    <row r="874" spans="2:14" hidden="1">
      <c r="B874" s="1071"/>
      <c r="C874" s="1011"/>
      <c r="E874" s="1277" t="s">
        <v>1754</v>
      </c>
      <c r="F874" s="997">
        <v>1.1499999999999999</v>
      </c>
      <c r="J874" s="1016" t="s">
        <v>190</v>
      </c>
      <c r="K874" s="997">
        <f>K873*1.15</f>
        <v>23179.399999999998</v>
      </c>
      <c r="L874" s="976" t="s">
        <v>238</v>
      </c>
      <c r="M874" s="976" t="s">
        <v>1755</v>
      </c>
      <c r="N874" s="667"/>
    </row>
    <row r="875" spans="2:14" hidden="1">
      <c r="B875" s="1071"/>
      <c r="C875" s="1011" t="s">
        <v>1769</v>
      </c>
      <c r="F875" s="1039">
        <f>D869</f>
        <v>50</v>
      </c>
      <c r="G875" s="1257" t="s">
        <v>255</v>
      </c>
      <c r="H875" s="997">
        <f>(K874/(D869*G869)*0.15)</f>
        <v>69.538199999999989</v>
      </c>
      <c r="I875" s="997" t="s">
        <v>238</v>
      </c>
      <c r="J875" s="1016" t="s">
        <v>190</v>
      </c>
      <c r="K875" s="997">
        <f>F875*H875</f>
        <v>3476.9099999999994</v>
      </c>
      <c r="L875" s="976" t="s">
        <v>238</v>
      </c>
      <c r="M875" s="976" t="s">
        <v>1757</v>
      </c>
      <c r="N875" s="667"/>
    </row>
    <row r="876" spans="2:14" hidden="1">
      <c r="B876" s="1071"/>
      <c r="C876" s="1011" t="s">
        <v>1542</v>
      </c>
      <c r="J876" s="1016" t="s">
        <v>190</v>
      </c>
      <c r="K876" s="1067">
        <f>SUM(K874:K875)</f>
        <v>26656.309999999998</v>
      </c>
      <c r="L876" s="976" t="s">
        <v>238</v>
      </c>
      <c r="M876" s="976" t="s">
        <v>1758</v>
      </c>
      <c r="N876" s="667"/>
    </row>
    <row r="877" spans="2:14" hidden="1">
      <c r="B877" s="1071"/>
      <c r="C877" s="1011" t="s">
        <v>332</v>
      </c>
      <c r="F877" s="997">
        <f>K876</f>
        <v>26656.309999999998</v>
      </c>
      <c r="G877" s="738" t="s">
        <v>241</v>
      </c>
      <c r="H877" s="997">
        <f>D869</f>
        <v>50</v>
      </c>
      <c r="J877" s="1016" t="s">
        <v>190</v>
      </c>
      <c r="K877" s="1278">
        <f>F877/H877</f>
        <v>533.12619999999993</v>
      </c>
      <c r="L877" s="976" t="s">
        <v>191</v>
      </c>
      <c r="N877" s="667"/>
    </row>
    <row r="878" spans="2:14" ht="22.5" hidden="1" thickBot="1">
      <c r="B878" s="1071"/>
      <c r="C878" s="1245" t="s">
        <v>1768</v>
      </c>
      <c r="D878" s="1255"/>
      <c r="E878" s="1011"/>
      <c r="F878" s="1011"/>
      <c r="G878" s="1016"/>
      <c r="H878" s="1011"/>
      <c r="I878" s="1012"/>
      <c r="J878" s="1016" t="s">
        <v>190</v>
      </c>
      <c r="K878" s="1025">
        <f>ROUNDDOWN(F877/H877,0)</f>
        <v>533</v>
      </c>
      <c r="L878" s="976" t="s">
        <v>191</v>
      </c>
      <c r="N878" s="667"/>
    </row>
    <row r="879" spans="2:14" ht="22.5" hidden="1" thickTop="1">
      <c r="B879" s="1071"/>
      <c r="C879" s="1245"/>
      <c r="D879" s="1255"/>
      <c r="E879" s="1011"/>
      <c r="F879" s="1011"/>
      <c r="G879" s="1275"/>
      <c r="H879" s="1011"/>
      <c r="I879" s="1012"/>
      <c r="J879" s="1016"/>
      <c r="K879" s="1070"/>
      <c r="L879" s="667"/>
      <c r="N879" s="667"/>
    </row>
    <row r="880" spans="2:14" hidden="1">
      <c r="B880" s="1071"/>
      <c r="C880" s="1245"/>
      <c r="D880" s="1255"/>
      <c r="E880" s="1011"/>
      <c r="F880" s="1011"/>
      <c r="G880" s="1275"/>
      <c r="H880" s="1011"/>
      <c r="I880" s="1012"/>
      <c r="J880" s="1016"/>
      <c r="K880" s="1070"/>
      <c r="L880" s="667"/>
      <c r="N880" s="667"/>
    </row>
    <row r="881" spans="2:24" hidden="1">
      <c r="B881" s="1011"/>
      <c r="C881" s="1011"/>
    </row>
    <row r="882" spans="2:24" hidden="1">
      <c r="B882" s="1253">
        <f>ปร.4_1!B169</f>
        <v>7.4</v>
      </c>
      <c r="C882" s="1254" t="str">
        <f>ปร.4_1!C169</f>
        <v>Approach Slab  ความหนา   25     ซม.</v>
      </c>
      <c r="D882" s="1255"/>
      <c r="E882" s="1012"/>
      <c r="G882" s="1012" t="s">
        <v>1147</v>
      </c>
      <c r="H882" s="1012"/>
      <c r="I882" s="1012"/>
      <c r="J882" s="1012"/>
      <c r="K882" s="1012"/>
      <c r="L882" s="667"/>
      <c r="M882" s="667"/>
      <c r="O882" s="976" t="s">
        <v>1151</v>
      </c>
      <c r="P882" s="978">
        <v>0.25</v>
      </c>
      <c r="Q882" s="976" t="s">
        <v>1153</v>
      </c>
    </row>
    <row r="883" spans="2:24" ht="24.75" hidden="1">
      <c r="B883" s="1071"/>
      <c r="C883" s="1279" t="s">
        <v>1148</v>
      </c>
      <c r="D883" s="1280">
        <v>9</v>
      </c>
      <c r="E883" s="1012" t="s">
        <v>744</v>
      </c>
      <c r="F883" s="1047" t="s">
        <v>1149</v>
      </c>
      <c r="G883" s="1280">
        <v>10</v>
      </c>
      <c r="H883" s="1012" t="s">
        <v>1150</v>
      </c>
      <c r="I883" s="1258"/>
      <c r="J883" s="1016" t="s">
        <v>190</v>
      </c>
      <c r="K883" s="1281">
        <f>ROUNDDOWN(D883*G883,0)</f>
        <v>90</v>
      </c>
      <c r="L883" s="667" t="s">
        <v>7</v>
      </c>
      <c r="M883" s="667" t="s">
        <v>193</v>
      </c>
      <c r="O883" s="976" t="s">
        <v>1152</v>
      </c>
      <c r="P883" s="978">
        <f>K883</f>
        <v>90</v>
      </c>
      <c r="Q883" s="978" t="s">
        <v>1866</v>
      </c>
    </row>
    <row r="884" spans="2:24" ht="24.75" hidden="1">
      <c r="B884" s="1071"/>
      <c r="C884" s="1245" t="s">
        <v>389</v>
      </c>
      <c r="D884" s="1255"/>
      <c r="E884" s="1011"/>
      <c r="F884" s="1071">
        <f>P884</f>
        <v>22.72</v>
      </c>
      <c r="G884" s="1257" t="s">
        <v>251</v>
      </c>
      <c r="H884" s="1012">
        <f>M1226</f>
        <v>2326</v>
      </c>
      <c r="I884" s="1012" t="s">
        <v>238</v>
      </c>
      <c r="J884" s="1016" t="s">
        <v>190</v>
      </c>
      <c r="K884" s="1012">
        <f>H884*F884</f>
        <v>52846.719999999994</v>
      </c>
      <c r="L884" s="667" t="s">
        <v>238</v>
      </c>
      <c r="M884" s="667" t="s">
        <v>234</v>
      </c>
      <c r="O884" s="976" t="s">
        <v>1142</v>
      </c>
      <c r="P884" s="978">
        <f>ROUNDDOWN((P883*P882)+(0.5*(0.2+0.3)*0.1*D883),2)</f>
        <v>22.72</v>
      </c>
      <c r="Q884" s="978" t="s">
        <v>1867</v>
      </c>
    </row>
    <row r="885" spans="2:24" ht="24.75" hidden="1">
      <c r="B885" s="1071"/>
      <c r="C885" s="1148" t="s">
        <v>260</v>
      </c>
      <c r="D885" s="1255"/>
      <c r="E885" s="1012"/>
      <c r="F885" s="1071">
        <f>P885</f>
        <v>10.45</v>
      </c>
      <c r="G885" s="1257" t="s">
        <v>255</v>
      </c>
      <c r="H885" s="1012">
        <f>K1471</f>
        <v>227</v>
      </c>
      <c r="I885" s="1012" t="s">
        <v>238</v>
      </c>
      <c r="J885" s="1016" t="s">
        <v>190</v>
      </c>
      <c r="K885" s="1012">
        <f>H885*F885</f>
        <v>2372.1499999999996</v>
      </c>
      <c r="L885" s="667" t="s">
        <v>238</v>
      </c>
      <c r="M885" s="667" t="s">
        <v>239</v>
      </c>
      <c r="O885" s="976" t="s">
        <v>1143</v>
      </c>
      <c r="P885" s="978">
        <f>ROUNDDOWN((D883*P882)+(2*((G883*P882)+(0.5*(0.2+0.3)*0.1)))+(D883*0.35),2)</f>
        <v>10.45</v>
      </c>
      <c r="Q885" s="978" t="s">
        <v>1866</v>
      </c>
    </row>
    <row r="886" spans="2:24" hidden="1">
      <c r="B886" s="1071"/>
      <c r="C886" s="1245" t="s">
        <v>5</v>
      </c>
      <c r="D886" s="1274"/>
      <c r="E886" s="1011"/>
      <c r="F886" s="1071"/>
      <c r="G886" s="1257"/>
      <c r="H886" s="1012"/>
      <c r="I886" s="1012"/>
      <c r="J886" s="1016"/>
      <c r="K886" s="1012"/>
      <c r="L886" s="667"/>
      <c r="M886" s="667"/>
      <c r="O886" s="976" t="s">
        <v>1154</v>
      </c>
      <c r="P886" s="1282" t="s">
        <v>1160</v>
      </c>
      <c r="Q886" s="1282" t="s">
        <v>1161</v>
      </c>
      <c r="R886" s="1104" t="s">
        <v>1162</v>
      </c>
      <c r="S886" s="1282" t="s">
        <v>1163</v>
      </c>
      <c r="T886" s="1104" t="s">
        <v>1164</v>
      </c>
      <c r="U886" s="1104" t="s">
        <v>1165</v>
      </c>
      <c r="V886" s="1104" t="s">
        <v>1166</v>
      </c>
      <c r="W886" s="738" t="s">
        <v>1168</v>
      </c>
    </row>
    <row r="887" spans="2:24" hidden="1">
      <c r="B887" s="1071"/>
      <c r="C887" s="1283" t="s">
        <v>1172</v>
      </c>
      <c r="D887" s="1255"/>
      <c r="E887" s="1012"/>
      <c r="F887" s="1284">
        <f t="shared" ref="F887:F892" si="53">W887</f>
        <v>12.632</v>
      </c>
      <c r="G887" s="1285" t="s">
        <v>242</v>
      </c>
      <c r="H887" s="1012">
        <f>J1322</f>
        <v>21.43</v>
      </c>
      <c r="I887" s="1012" t="s">
        <v>238</v>
      </c>
      <c r="J887" s="1016" t="s">
        <v>190</v>
      </c>
      <c r="K887" s="1012">
        <f t="shared" ref="K887:K899" si="54">H887*F887</f>
        <v>270.70375999999999</v>
      </c>
      <c r="L887" s="667" t="s">
        <v>238</v>
      </c>
      <c r="M887" s="667" t="s">
        <v>244</v>
      </c>
      <c r="O887" s="1286" t="s">
        <v>892</v>
      </c>
      <c r="P887" s="1287">
        <v>0</v>
      </c>
      <c r="Q887" s="1287">
        <v>0</v>
      </c>
      <c r="R887" s="1287">
        <v>0</v>
      </c>
      <c r="S887" s="1287">
        <f>(INT(D883/0.15)+1)*0.415</f>
        <v>25.314999999999998</v>
      </c>
      <c r="T887" s="1287">
        <v>0</v>
      </c>
      <c r="U887" s="1287">
        <v>0</v>
      </c>
      <c r="V887" s="1287">
        <v>0</v>
      </c>
      <c r="W887" s="1288">
        <f>ROUNDDOWN(SUM(P887:V887)*0.499,3)</f>
        <v>12.632</v>
      </c>
      <c r="X887" s="976" t="s">
        <v>1167</v>
      </c>
    </row>
    <row r="888" spans="2:24" hidden="1">
      <c r="B888" s="1071"/>
      <c r="C888" s="1283" t="s">
        <v>1173</v>
      </c>
      <c r="D888" s="1255"/>
      <c r="E888" s="1012"/>
      <c r="F888" s="1284">
        <f t="shared" si="53"/>
        <v>59.720999999999997</v>
      </c>
      <c r="G888" s="1285" t="s">
        <v>242</v>
      </c>
      <c r="H888" s="1012">
        <f>J1354</f>
        <v>23.68</v>
      </c>
      <c r="I888" s="1012" t="s">
        <v>238</v>
      </c>
      <c r="J888" s="1016" t="s">
        <v>190</v>
      </c>
      <c r="K888" s="1012">
        <f t="shared" si="54"/>
        <v>1414.19328</v>
      </c>
      <c r="L888" s="667" t="s">
        <v>238</v>
      </c>
      <c r="M888" s="667" t="s">
        <v>236</v>
      </c>
      <c r="O888" s="1286" t="s">
        <v>1158</v>
      </c>
      <c r="P888" s="1287">
        <v>0</v>
      </c>
      <c r="Q888" s="1287">
        <v>0</v>
      </c>
      <c r="R888" s="1287">
        <v>0</v>
      </c>
      <c r="S888" s="1287">
        <v>0</v>
      </c>
      <c r="T888" s="1287">
        <v>0</v>
      </c>
      <c r="U888" s="1287">
        <f>(INT(D883/0.3)+1)*0.5</f>
        <v>15.5</v>
      </c>
      <c r="V888" s="1287">
        <v>0</v>
      </c>
      <c r="W888" s="1288">
        <f>ROUNDDOWN(SUM(P888:V888)*3.853,3)</f>
        <v>59.720999999999997</v>
      </c>
      <c r="X888" s="976" t="s">
        <v>1167</v>
      </c>
    </row>
    <row r="889" spans="2:24" hidden="1">
      <c r="B889" s="1071"/>
      <c r="C889" s="1283" t="s">
        <v>893</v>
      </c>
      <c r="D889" s="1274"/>
      <c r="E889" s="1011"/>
      <c r="F889" s="1284">
        <f t="shared" si="53"/>
        <v>807.19200000000001</v>
      </c>
      <c r="G889" s="1285" t="s">
        <v>242</v>
      </c>
      <c r="H889" s="1012">
        <f>J1402</f>
        <v>14.96</v>
      </c>
      <c r="I889" s="1012" t="s">
        <v>238</v>
      </c>
      <c r="J889" s="1016" t="s">
        <v>190</v>
      </c>
      <c r="K889" s="1012">
        <f t="shared" si="54"/>
        <v>12075.592320000002</v>
      </c>
      <c r="L889" s="667" t="s">
        <v>238</v>
      </c>
      <c r="M889" s="667" t="s">
        <v>249</v>
      </c>
      <c r="O889" s="1286" t="s">
        <v>1155</v>
      </c>
      <c r="P889" s="1287">
        <f>(INT(G883/0.3)+1)*D883</f>
        <v>306</v>
      </c>
      <c r="Q889" s="1287">
        <f>(INT(G883/0.15)+1)*D883</f>
        <v>603</v>
      </c>
      <c r="R889" s="1287">
        <v>0</v>
      </c>
      <c r="S889" s="1287">
        <v>0</v>
      </c>
      <c r="T889" s="1287">
        <v>0</v>
      </c>
      <c r="U889" s="1287">
        <v>0</v>
      </c>
      <c r="V889" s="1287">
        <v>0</v>
      </c>
      <c r="W889" s="1288">
        <f>ROUNDDOWN(SUM(P889:V889)*0.888,3)</f>
        <v>807.19200000000001</v>
      </c>
      <c r="X889" s="976" t="s">
        <v>1167</v>
      </c>
    </row>
    <row r="890" spans="2:24" hidden="1">
      <c r="B890" s="1071"/>
      <c r="C890" s="1283" t="s">
        <v>1174</v>
      </c>
      <c r="D890" s="1274"/>
      <c r="E890" s="1011"/>
      <c r="F890" s="1284">
        <f t="shared" si="53"/>
        <v>607.53</v>
      </c>
      <c r="G890" s="1285" t="s">
        <v>242</v>
      </c>
      <c r="H890" s="1012">
        <f>J1410</f>
        <v>14.76</v>
      </c>
      <c r="I890" s="1012" t="s">
        <v>238</v>
      </c>
      <c r="J890" s="1016" t="s">
        <v>190</v>
      </c>
      <c r="K890" s="1012">
        <f t="shared" si="54"/>
        <v>8967.1427999999996</v>
      </c>
      <c r="L890" s="667" t="s">
        <v>238</v>
      </c>
      <c r="M890" s="667" t="s">
        <v>246</v>
      </c>
      <c r="O890" s="1286" t="s">
        <v>1156</v>
      </c>
      <c r="P890" s="1287">
        <f>(INT(D883/0.3)+1)*G883</f>
        <v>310</v>
      </c>
      <c r="Q890" s="1287">
        <v>0</v>
      </c>
      <c r="R890" s="1287">
        <f>(INT(D883/0.3)+1)*1</f>
        <v>31</v>
      </c>
      <c r="S890" s="1287">
        <f>3*D883</f>
        <v>27</v>
      </c>
      <c r="T890" s="1287">
        <v>0</v>
      </c>
      <c r="U890" s="1287">
        <v>0</v>
      </c>
      <c r="V890" s="1287">
        <f>(INT(G883/0.3)+1)*0.5</f>
        <v>17</v>
      </c>
      <c r="W890" s="1288">
        <f>ROUNDDOWN(SUM(P890:V890)*1.578,3)</f>
        <v>607.53</v>
      </c>
      <c r="X890" s="976" t="s">
        <v>1167</v>
      </c>
    </row>
    <row r="891" spans="2:24" hidden="1">
      <c r="B891" s="1071"/>
      <c r="C891" s="1283" t="s">
        <v>1175</v>
      </c>
      <c r="D891" s="1274"/>
      <c r="E891" s="1011"/>
      <c r="F891" s="1284">
        <f t="shared" si="53"/>
        <v>1504.26</v>
      </c>
      <c r="G891" s="1285" t="s">
        <v>242</v>
      </c>
      <c r="H891" s="1012">
        <f>J1418</f>
        <v>14.76</v>
      </c>
      <c r="I891" s="1012" t="s">
        <v>238</v>
      </c>
      <c r="J891" s="1016" t="s">
        <v>190</v>
      </c>
      <c r="K891" s="1012">
        <f t="shared" si="54"/>
        <v>22202.8776</v>
      </c>
      <c r="L891" s="667" t="s">
        <v>238</v>
      </c>
      <c r="M891" s="667" t="s">
        <v>247</v>
      </c>
      <c r="O891" s="1286" t="s">
        <v>1157</v>
      </c>
      <c r="P891" s="1287">
        <v>0</v>
      </c>
      <c r="Q891" s="1287">
        <f>(INT(D883/0.15)+1)*G883</f>
        <v>610</v>
      </c>
      <c r="R891" s="1287">
        <v>0</v>
      </c>
      <c r="S891" s="1287">
        <v>0</v>
      </c>
      <c r="T891" s="1287">
        <v>0</v>
      </c>
      <c r="U891" s="1287">
        <v>0</v>
      </c>
      <c r="V891" s="1287">
        <v>0</v>
      </c>
      <c r="W891" s="1288">
        <f>ROUNDDOWN(SUM(P891:V891)*2.466,3)</f>
        <v>1504.26</v>
      </c>
      <c r="X891" s="976" t="s">
        <v>1167</v>
      </c>
    </row>
    <row r="892" spans="2:24" hidden="1">
      <c r="B892" s="1071"/>
      <c r="C892" s="1283" t="s">
        <v>1176</v>
      </c>
      <c r="D892" s="1274"/>
      <c r="E892" s="1011"/>
      <c r="F892" s="1284">
        <f t="shared" si="53"/>
        <v>19.265000000000001</v>
      </c>
      <c r="G892" s="1285" t="s">
        <v>242</v>
      </c>
      <c r="H892" s="1012">
        <f>J1426</f>
        <v>14.76</v>
      </c>
      <c r="I892" s="1012" t="s">
        <v>238</v>
      </c>
      <c r="J892" s="1016" t="s">
        <v>190</v>
      </c>
      <c r="K892" s="1012">
        <f t="shared" si="54"/>
        <v>284.35140000000001</v>
      </c>
      <c r="L892" s="667" t="s">
        <v>238</v>
      </c>
      <c r="M892" s="667" t="s">
        <v>262</v>
      </c>
      <c r="O892" s="1286" t="s">
        <v>1159</v>
      </c>
      <c r="P892" s="1287">
        <v>0</v>
      </c>
      <c r="Q892" s="1287">
        <v>0</v>
      </c>
      <c r="R892" s="1287">
        <v>0</v>
      </c>
      <c r="S892" s="1287">
        <v>0</v>
      </c>
      <c r="T892" s="1287">
        <f>(INT(D883/1)+1)*0.5</f>
        <v>5</v>
      </c>
      <c r="U892" s="1287">
        <v>0</v>
      </c>
      <c r="V892" s="1287">
        <v>0</v>
      </c>
      <c r="W892" s="1288">
        <f>ROUNDDOWN(SUM(P892:V892)*3.853,3)</f>
        <v>19.265000000000001</v>
      </c>
      <c r="X892" s="976" t="s">
        <v>1167</v>
      </c>
    </row>
    <row r="893" spans="2:24" hidden="1">
      <c r="B893" s="1071"/>
      <c r="C893" s="1245" t="s">
        <v>8</v>
      </c>
      <c r="D893" s="1271"/>
      <c r="E893" s="1012"/>
      <c r="F893" s="1265">
        <f>SUM(F887:F892)</f>
        <v>3010.6</v>
      </c>
      <c r="G893" s="1257" t="s">
        <v>251</v>
      </c>
      <c r="H893" s="1097">
        <f>ROUNDDOWN(IF(F893=0,0,IF(F893/1000&gt;100,2900/1000,3300/1000)),2)</f>
        <v>3.3</v>
      </c>
      <c r="I893" s="1012" t="s">
        <v>238</v>
      </c>
      <c r="J893" s="1016" t="s">
        <v>190</v>
      </c>
      <c r="K893" s="1012">
        <f t="shared" si="54"/>
        <v>9934.98</v>
      </c>
      <c r="L893" s="667" t="s">
        <v>238</v>
      </c>
      <c r="M893" s="667" t="s">
        <v>1181</v>
      </c>
      <c r="Q893" s="978"/>
      <c r="W893" s="1289">
        <f>SUM(W887:W892)</f>
        <v>3010.6</v>
      </c>
      <c r="X893" s="976" t="s">
        <v>1167</v>
      </c>
    </row>
    <row r="894" spans="2:24" hidden="1">
      <c r="B894" s="1071"/>
      <c r="C894" s="1245" t="s">
        <v>164</v>
      </c>
      <c r="D894" s="1274"/>
      <c r="E894" s="1011"/>
      <c r="F894" s="1071">
        <f>ROUNDDOWN(F893*25/1000,2)</f>
        <v>75.260000000000005</v>
      </c>
      <c r="G894" s="1257" t="s">
        <v>251</v>
      </c>
      <c r="H894" s="1012">
        <f>ข้อมูลแหล่งราคาวัสดุ!D54</f>
        <v>19.739999999999998</v>
      </c>
      <c r="I894" s="1012" t="s">
        <v>238</v>
      </c>
      <c r="J894" s="1016" t="s">
        <v>190</v>
      </c>
      <c r="K894" s="1012">
        <f t="shared" si="54"/>
        <v>1485.6324</v>
      </c>
      <c r="L894" s="667" t="s">
        <v>238</v>
      </c>
      <c r="M894" s="667" t="s">
        <v>446</v>
      </c>
      <c r="Q894" s="978"/>
    </row>
    <row r="895" spans="2:24" hidden="1">
      <c r="B895" s="1071"/>
      <c r="C895" s="843" t="s">
        <v>1196</v>
      </c>
      <c r="D895" s="1255"/>
      <c r="E895" s="1011"/>
      <c r="F895" s="1290">
        <f>P895</f>
        <v>50.86</v>
      </c>
      <c r="G895" s="1285" t="s">
        <v>242</v>
      </c>
      <c r="H895" s="1015">
        <v>27</v>
      </c>
      <c r="I895" s="1012" t="s">
        <v>238</v>
      </c>
      <c r="J895" s="1016" t="s">
        <v>190</v>
      </c>
      <c r="K895" s="1012">
        <f t="shared" si="54"/>
        <v>1373.22</v>
      </c>
      <c r="L895" s="667" t="s">
        <v>238</v>
      </c>
      <c r="M895" s="667" t="s">
        <v>447</v>
      </c>
      <c r="O895" s="976" t="s">
        <v>1169</v>
      </c>
      <c r="P895" s="978">
        <f>ROUNDDOWN(5.652*D883,2)</f>
        <v>50.86</v>
      </c>
      <c r="Q895" s="1278" t="s">
        <v>1167</v>
      </c>
      <c r="R895" s="1278"/>
      <c r="T895" s="1278"/>
      <c r="U895" s="1278"/>
    </row>
    <row r="896" spans="2:24" ht="24.75" hidden="1">
      <c r="B896" s="1071"/>
      <c r="C896" s="1148" t="s">
        <v>1177</v>
      </c>
      <c r="D896" s="1255"/>
      <c r="E896" s="1011"/>
      <c r="F896" s="1290">
        <f>P896</f>
        <v>2.88</v>
      </c>
      <c r="G896" s="1257" t="s">
        <v>251</v>
      </c>
      <c r="H896" s="1015">
        <f>H74</f>
        <v>421.57000000000005</v>
      </c>
      <c r="I896" s="1012" t="s">
        <v>238</v>
      </c>
      <c r="J896" s="1016" t="s">
        <v>190</v>
      </c>
      <c r="K896" s="1012">
        <f t="shared" si="54"/>
        <v>1214.1216000000002</v>
      </c>
      <c r="L896" s="667" t="s">
        <v>238</v>
      </c>
      <c r="M896" s="667" t="s">
        <v>380</v>
      </c>
      <c r="O896" s="976" t="s">
        <v>1170</v>
      </c>
      <c r="P896" s="978">
        <f>ROUNDDOWN((0.5*0.8*0.8*D883),2)</f>
        <v>2.88</v>
      </c>
      <c r="Q896" s="978" t="s">
        <v>1867</v>
      </c>
      <c r="R896" s="1278"/>
      <c r="T896" s="1278"/>
      <c r="U896" s="1278"/>
    </row>
    <row r="897" spans="1:25" ht="24.75" hidden="1">
      <c r="B897" s="1071"/>
      <c r="C897" s="1148" t="s">
        <v>260</v>
      </c>
      <c r="D897" s="1255"/>
      <c r="E897" s="1011"/>
      <c r="F897" s="1290">
        <f>P897</f>
        <v>0.64</v>
      </c>
      <c r="G897" s="1257" t="s">
        <v>255</v>
      </c>
      <c r="H897" s="1015">
        <f>K1471</f>
        <v>227</v>
      </c>
      <c r="I897" s="1012" t="s">
        <v>238</v>
      </c>
      <c r="J897" s="1016" t="s">
        <v>190</v>
      </c>
      <c r="K897" s="1012">
        <f>H897*F897</f>
        <v>145.28</v>
      </c>
      <c r="L897" s="667" t="s">
        <v>238</v>
      </c>
      <c r="M897" s="667" t="s">
        <v>960</v>
      </c>
      <c r="O897" s="976" t="s">
        <v>1143</v>
      </c>
      <c r="P897" s="978">
        <f>ROUNDDOWN(2*0.5*0.8*0.8,2)</f>
        <v>0.64</v>
      </c>
      <c r="Q897" s="978" t="s">
        <v>1866</v>
      </c>
      <c r="R897" s="1278"/>
      <c r="T897" s="1278"/>
      <c r="U897" s="1278"/>
    </row>
    <row r="898" spans="1:25" hidden="1">
      <c r="B898" s="1071"/>
      <c r="C898" s="1291" t="s">
        <v>1180</v>
      </c>
      <c r="D898" s="1255"/>
      <c r="E898" s="1011"/>
      <c r="F898" s="1290">
        <f>P898</f>
        <v>9</v>
      </c>
      <c r="G898" s="1000" t="s">
        <v>407</v>
      </c>
      <c r="H898" s="1015">
        <v>560</v>
      </c>
      <c r="I898" s="1012" t="s">
        <v>238</v>
      </c>
      <c r="J898" s="1016" t="s">
        <v>190</v>
      </c>
      <c r="K898" s="1012">
        <f>H898*F898</f>
        <v>5040</v>
      </c>
      <c r="L898" s="667" t="s">
        <v>238</v>
      </c>
      <c r="M898" s="667" t="s">
        <v>964</v>
      </c>
      <c r="O898" s="976" t="s">
        <v>1171</v>
      </c>
      <c r="P898" s="978">
        <f>1*D883</f>
        <v>9</v>
      </c>
      <c r="Q898" s="978" t="s">
        <v>11</v>
      </c>
      <c r="R898" s="1278"/>
      <c r="T898" s="1278"/>
      <c r="U898" s="1278"/>
    </row>
    <row r="899" spans="1:25" ht="24.75" hidden="1">
      <c r="B899" s="1071"/>
      <c r="C899" s="843" t="s">
        <v>514</v>
      </c>
      <c r="D899" s="1274"/>
      <c r="E899" s="1011"/>
      <c r="F899" s="1290">
        <f>P899</f>
        <v>10.8</v>
      </c>
      <c r="G899" s="1000" t="s">
        <v>255</v>
      </c>
      <c r="H899" s="1011">
        <v>10</v>
      </c>
      <c r="I899" s="1012" t="s">
        <v>238</v>
      </c>
      <c r="J899" s="1016" t="s">
        <v>190</v>
      </c>
      <c r="K899" s="1012">
        <f t="shared" si="54"/>
        <v>108</v>
      </c>
      <c r="L899" s="667" t="s">
        <v>238</v>
      </c>
      <c r="M899" s="667" t="s">
        <v>1182</v>
      </c>
      <c r="O899" s="976" t="s">
        <v>824</v>
      </c>
      <c r="P899" s="978">
        <f>ROUNDDOWN(1.2*D883,2)</f>
        <v>10.8</v>
      </c>
      <c r="Q899" s="978" t="s">
        <v>1866</v>
      </c>
      <c r="R899" s="1278"/>
      <c r="T899" s="1278"/>
      <c r="U899" s="1278"/>
      <c r="Y899" s="1032"/>
    </row>
    <row r="900" spans="1:25" hidden="1">
      <c r="B900" s="1011"/>
      <c r="C900" s="843" t="s">
        <v>233</v>
      </c>
      <c r="J900" s="1016" t="s">
        <v>190</v>
      </c>
      <c r="K900" s="997">
        <f>SUM(K884:K899)</f>
        <v>119734.96515999998</v>
      </c>
      <c r="L900" s="843" t="s">
        <v>238</v>
      </c>
      <c r="M900" s="976" t="s">
        <v>1183</v>
      </c>
      <c r="Q900" s="978"/>
      <c r="T900" s="997"/>
    </row>
    <row r="901" spans="1:25" hidden="1">
      <c r="B901" s="1011"/>
      <c r="C901" s="843" t="s">
        <v>388</v>
      </c>
      <c r="J901" s="1016" t="s">
        <v>190</v>
      </c>
      <c r="K901" s="1067">
        <f>K900/K883</f>
        <v>1330.3885017777775</v>
      </c>
      <c r="L901" s="843" t="s">
        <v>191</v>
      </c>
      <c r="N901" s="976" t="s">
        <v>1184</v>
      </c>
      <c r="Q901" s="978"/>
    </row>
    <row r="902" spans="1:25" ht="22.5" hidden="1" thickBot="1">
      <c r="B902" s="1011"/>
      <c r="C902" s="843" t="s">
        <v>195</v>
      </c>
      <c r="J902" s="1016" t="s">
        <v>190</v>
      </c>
      <c r="K902" s="1025">
        <f>ROUNDDOWN(K901,0)</f>
        <v>1330</v>
      </c>
      <c r="L902" s="843" t="s">
        <v>191</v>
      </c>
      <c r="N902" s="976" t="s">
        <v>1185</v>
      </c>
      <c r="Q902" s="978"/>
    </row>
    <row r="903" spans="1:25" ht="22.5" hidden="1" thickTop="1">
      <c r="B903" s="1011"/>
      <c r="C903" s="1015"/>
      <c r="L903" s="1015"/>
    </row>
    <row r="904" spans="1:25" hidden="1">
      <c r="B904" s="1011"/>
      <c r="C904" s="1015"/>
      <c r="L904" s="1015"/>
    </row>
    <row r="905" spans="1:25" hidden="1">
      <c r="B905" s="1234" t="str">
        <f>ปร.4_2!B10</f>
        <v>ประเภทงานสะพานและท่อลอดเหลี่ยม</v>
      </c>
      <c r="C905" s="1015"/>
      <c r="L905" s="1015"/>
    </row>
    <row r="906" spans="1:25" hidden="1">
      <c r="A906" s="1001">
        <v>1</v>
      </c>
      <c r="B906" s="1023" t="s">
        <v>28</v>
      </c>
      <c r="C906" s="1207"/>
      <c r="J906" s="1247"/>
      <c r="M906" s="1245"/>
      <c r="N906" s="684"/>
    </row>
    <row r="907" spans="1:25" hidden="1">
      <c r="B907" s="1292">
        <f>ปร.4_2!B12</f>
        <v>1.1000000000000001</v>
      </c>
      <c r="C907" s="1031" t="str">
        <f>ปร.4_2!C12&amp;" "&amp;TEXT(ปร.4_2!F12,"0+000.000")&amp;" "&amp;ปร.4_2!G12&amp;" "&amp;TEXT(ปร.4_2!H12,"0+000.000")</f>
        <v>งานก่อสร้างสะพานที่ กม. - ถึง กม. -</v>
      </c>
      <c r="J907" s="1247"/>
      <c r="M907" s="1245"/>
      <c r="N907" s="684"/>
    </row>
    <row r="908" spans="1:25" hidden="1">
      <c r="B908" s="1292"/>
      <c r="C908" s="1031" t="str">
        <f>ปร.4_2!C13&amp;" "&amp;FIXED(ปร.4_2!E13,2)&amp;" "&amp;ปร.4_2!F13&amp;" "&amp;FIXED(ปร.4_2!G13,2)&amp;" "&amp;ปร.4_2!H13&amp;" "&amp;ปร.4_2!C14&amp;" "&amp;FIXED(ปร.4_2!F14,2)&amp;" "&amp;ปร.4_2!G14</f>
        <v>ความกว้าง  0.00 เมตร ความยาว  0.00 เมตร  ทางเท้ากว้างข้างละ 0.00 เมตร</v>
      </c>
      <c r="J908" s="1247"/>
      <c r="M908" s="1245"/>
      <c r="N908" s="684"/>
    </row>
    <row r="909" spans="1:25" hidden="1">
      <c r="B909" s="1292" t="str">
        <f>ปร.4_2!C15</f>
        <v>1.1.1</v>
      </c>
      <c r="C909" s="1031" t="str">
        <f>ปร.4_2!D15</f>
        <v xml:space="preserve">งานเสาเข็ม </v>
      </c>
      <c r="J909" s="1247"/>
      <c r="M909" s="1245"/>
      <c r="N909" s="684"/>
    </row>
    <row r="910" spans="1:25" hidden="1">
      <c r="C910" s="1293" t="str">
        <f>ปร.4_2!D16</f>
        <v>1.1.1(1) เสาเข็ม ขนาด 0.40 ม. x 0.40 ม. ความยาว</v>
      </c>
      <c r="G910" s="1061">
        <f>ปร.4_2!H16</f>
        <v>10</v>
      </c>
      <c r="H910" s="999" t="str">
        <f>ปร.4_2!I16</f>
        <v>เมตร</v>
      </c>
      <c r="J910" s="1247"/>
      <c r="L910" s="1245"/>
      <c r="M910" s="684"/>
    </row>
    <row r="911" spans="1:25" hidden="1">
      <c r="B911" s="1011"/>
      <c r="C911" s="684" t="s">
        <v>468</v>
      </c>
      <c r="E911" s="997" t="s">
        <v>190</v>
      </c>
      <c r="F911" s="997">
        <f>0.4*0.4*G910</f>
        <v>1.6000000000000003</v>
      </c>
      <c r="G911" s="747" t="s">
        <v>251</v>
      </c>
      <c r="H911" s="997">
        <f>M1246</f>
        <v>2448</v>
      </c>
      <c r="I911" s="1012" t="s">
        <v>238</v>
      </c>
      <c r="J911" s="1247" t="s">
        <v>190</v>
      </c>
      <c r="K911" s="997">
        <f>H911*F911</f>
        <v>3916.8000000000006</v>
      </c>
      <c r="L911" s="684" t="s">
        <v>238</v>
      </c>
      <c r="M911" s="667" t="s">
        <v>193</v>
      </c>
    </row>
    <row r="912" spans="1:25" hidden="1">
      <c r="B912" s="1011"/>
      <c r="C912" s="684" t="s">
        <v>403</v>
      </c>
      <c r="E912" s="997" t="s">
        <v>190</v>
      </c>
      <c r="F912" s="997">
        <f>(0.4+0.4+0.4+0.4)*G910</f>
        <v>16</v>
      </c>
      <c r="G912" s="1085" t="s">
        <v>255</v>
      </c>
      <c r="H912" s="997">
        <f>K1484</f>
        <v>336</v>
      </c>
      <c r="I912" s="1012" t="s">
        <v>238</v>
      </c>
      <c r="J912" s="1247" t="s">
        <v>190</v>
      </c>
      <c r="K912" s="997">
        <f t="shared" ref="K912:K922" si="55">H912*F912</f>
        <v>5376</v>
      </c>
      <c r="L912" s="684" t="s">
        <v>238</v>
      </c>
      <c r="M912" s="667" t="s">
        <v>234</v>
      </c>
    </row>
    <row r="913" spans="2:14" hidden="1">
      <c r="B913" s="1011"/>
      <c r="C913" s="684" t="s">
        <v>5</v>
      </c>
      <c r="I913" s="1012"/>
      <c r="J913" s="1247"/>
      <c r="L913" s="1012"/>
      <c r="M913" s="667"/>
    </row>
    <row r="914" spans="2:14" hidden="1">
      <c r="B914" s="1011"/>
      <c r="C914" s="684" t="s">
        <v>261</v>
      </c>
      <c r="E914" s="997" t="s">
        <v>190</v>
      </c>
      <c r="F914" s="997">
        <v>46.5</v>
      </c>
      <c r="G914" s="1085" t="s">
        <v>242</v>
      </c>
      <c r="H914" s="997">
        <f>J1314</f>
        <v>22.41</v>
      </c>
      <c r="I914" s="1012" t="s">
        <v>238</v>
      </c>
      <c r="J914" s="1247" t="s">
        <v>190</v>
      </c>
      <c r="K914" s="997">
        <f t="shared" si="55"/>
        <v>1042.0650000000001</v>
      </c>
      <c r="L914" s="684" t="s">
        <v>238</v>
      </c>
      <c r="M914" s="667" t="s">
        <v>239</v>
      </c>
    </row>
    <row r="915" spans="2:14" hidden="1">
      <c r="B915" s="1011"/>
      <c r="C915" s="684" t="s">
        <v>391</v>
      </c>
      <c r="E915" s="997" t="s">
        <v>190</v>
      </c>
      <c r="F915" s="997">
        <v>22.27</v>
      </c>
      <c r="G915" s="1085" t="s">
        <v>242</v>
      </c>
      <c r="H915" s="997">
        <f>J1402</f>
        <v>14.96</v>
      </c>
      <c r="I915" s="1012" t="s">
        <v>238</v>
      </c>
      <c r="J915" s="1247" t="s">
        <v>190</v>
      </c>
      <c r="K915" s="997">
        <f t="shared" si="55"/>
        <v>333.1592</v>
      </c>
      <c r="L915" s="684" t="s">
        <v>238</v>
      </c>
      <c r="M915" s="667" t="s">
        <v>244</v>
      </c>
    </row>
    <row r="916" spans="2:14" hidden="1">
      <c r="B916" s="1011"/>
      <c r="C916" s="684" t="s">
        <v>406</v>
      </c>
      <c r="E916" s="997" t="s">
        <v>190</v>
      </c>
      <c r="F916" s="997">
        <v>6.92</v>
      </c>
      <c r="G916" s="1085" t="s">
        <v>242</v>
      </c>
      <c r="H916" s="997">
        <f>J1410</f>
        <v>14.76</v>
      </c>
      <c r="I916" s="1012" t="s">
        <v>238</v>
      </c>
      <c r="J916" s="1247" t="s">
        <v>190</v>
      </c>
      <c r="K916" s="997">
        <f t="shared" si="55"/>
        <v>102.1392</v>
      </c>
      <c r="L916" s="684" t="s">
        <v>238</v>
      </c>
      <c r="M916" s="667" t="s">
        <v>244</v>
      </c>
    </row>
    <row r="917" spans="2:14" hidden="1">
      <c r="B917" s="1011"/>
      <c r="C917" s="684" t="s">
        <v>392</v>
      </c>
      <c r="E917" s="997" t="s">
        <v>190</v>
      </c>
      <c r="F917" s="997">
        <v>101.64</v>
      </c>
      <c r="G917" s="1085" t="s">
        <v>242</v>
      </c>
      <c r="H917" s="997">
        <f>J1426</f>
        <v>14.76</v>
      </c>
      <c r="I917" s="1012" t="s">
        <v>238</v>
      </c>
      <c r="J917" s="1247" t="s">
        <v>190</v>
      </c>
      <c r="K917" s="997">
        <f t="shared" si="55"/>
        <v>1500.2064</v>
      </c>
      <c r="L917" s="684" t="s">
        <v>238</v>
      </c>
      <c r="M917" s="667" t="s">
        <v>236</v>
      </c>
    </row>
    <row r="918" spans="2:14" hidden="1">
      <c r="B918" s="1011"/>
      <c r="C918" s="1172" t="s">
        <v>8</v>
      </c>
      <c r="E918" s="997" t="s">
        <v>190</v>
      </c>
      <c r="F918" s="997">
        <f>SUM(F914:F917)</f>
        <v>177.32999999999998</v>
      </c>
      <c r="G918" s="1085" t="s">
        <v>242</v>
      </c>
      <c r="H918" s="1097">
        <f>ROUNDDOWN(IF(F918=0,0,IF(F918/1000&gt;100,2900/1000,3300/1000)),2)</f>
        <v>3.3</v>
      </c>
      <c r="I918" s="1012" t="s">
        <v>238</v>
      </c>
      <c r="J918" s="1247" t="s">
        <v>190</v>
      </c>
      <c r="K918" s="997">
        <f t="shared" si="55"/>
        <v>585.18899999999996</v>
      </c>
      <c r="L918" s="684" t="s">
        <v>238</v>
      </c>
      <c r="M918" s="667" t="s">
        <v>283</v>
      </c>
    </row>
    <row r="919" spans="2:14" hidden="1">
      <c r="B919" s="1011"/>
      <c r="C919" s="1172" t="s">
        <v>384</v>
      </c>
      <c r="E919" s="997" t="s">
        <v>190</v>
      </c>
      <c r="F919" s="997">
        <f>F918*0.025</f>
        <v>4.4332500000000001</v>
      </c>
      <c r="G919" s="1085" t="s">
        <v>242</v>
      </c>
      <c r="H919" s="997">
        <f>ข้อมูลแหล่งราคาวัสดุ!D54</f>
        <v>19.739999999999998</v>
      </c>
      <c r="I919" s="1012" t="s">
        <v>238</v>
      </c>
      <c r="J919" s="1247" t="s">
        <v>190</v>
      </c>
      <c r="K919" s="997">
        <f t="shared" si="55"/>
        <v>87.512354999999999</v>
      </c>
      <c r="L919" s="684" t="s">
        <v>238</v>
      </c>
      <c r="M919" s="667" t="s">
        <v>246</v>
      </c>
    </row>
    <row r="920" spans="2:14" hidden="1">
      <c r="B920" s="1011"/>
      <c r="C920" s="684" t="s">
        <v>1868</v>
      </c>
      <c r="E920" s="997" t="s">
        <v>190</v>
      </c>
      <c r="F920" s="997">
        <v>82.95</v>
      </c>
      <c r="G920" s="1085" t="s">
        <v>242</v>
      </c>
      <c r="H920" s="997">
        <f>ROUND(ข้อมูลแหล่งราคาวัสดุ!J53/1000,2)</f>
        <v>43.64</v>
      </c>
      <c r="I920" s="1012" t="s">
        <v>238</v>
      </c>
      <c r="J920" s="1247" t="s">
        <v>190</v>
      </c>
      <c r="K920" s="997">
        <f t="shared" si="55"/>
        <v>3619.9380000000001</v>
      </c>
      <c r="L920" s="684" t="s">
        <v>238</v>
      </c>
      <c r="M920" s="667" t="s">
        <v>247</v>
      </c>
    </row>
    <row r="921" spans="2:14" hidden="1">
      <c r="B921" s="1011"/>
      <c r="C921" s="1294" t="s">
        <v>1827</v>
      </c>
      <c r="E921" s="997" t="s">
        <v>190</v>
      </c>
      <c r="F921" s="997">
        <f>F920</f>
        <v>82.95</v>
      </c>
      <c r="G921" s="1085" t="s">
        <v>242</v>
      </c>
      <c r="H921" s="997">
        <f>10000/1000</f>
        <v>10</v>
      </c>
      <c r="I921" s="1012" t="s">
        <v>238</v>
      </c>
      <c r="J921" s="1247" t="s">
        <v>190</v>
      </c>
      <c r="K921" s="997">
        <f t="shared" si="55"/>
        <v>829.5</v>
      </c>
      <c r="L921" s="684" t="s">
        <v>238</v>
      </c>
      <c r="M921" s="667"/>
    </row>
    <row r="922" spans="2:14" hidden="1">
      <c r="B922" s="1011"/>
      <c r="C922" s="684" t="s">
        <v>599</v>
      </c>
      <c r="E922" s="997" t="s">
        <v>190</v>
      </c>
      <c r="F922" s="997">
        <v>1</v>
      </c>
      <c r="G922" s="1085" t="s">
        <v>600</v>
      </c>
      <c r="H922" s="997">
        <v>300</v>
      </c>
      <c r="I922" s="1012" t="s">
        <v>238</v>
      </c>
      <c r="J922" s="1247" t="s">
        <v>190</v>
      </c>
      <c r="K922" s="997">
        <f t="shared" si="55"/>
        <v>300</v>
      </c>
      <c r="L922" s="684" t="s">
        <v>238</v>
      </c>
      <c r="M922" s="667" t="s">
        <v>379</v>
      </c>
    </row>
    <row r="923" spans="2:14" hidden="1">
      <c r="B923" s="1011"/>
      <c r="C923" s="682" t="s">
        <v>195</v>
      </c>
      <c r="J923" s="1247" t="s">
        <v>190</v>
      </c>
      <c r="K923" s="1067">
        <f>SUM(K911:K922)</f>
        <v>17692.509155</v>
      </c>
      <c r="L923" s="684" t="s">
        <v>238</v>
      </c>
      <c r="M923" s="667" t="s">
        <v>522</v>
      </c>
    </row>
    <row r="924" spans="2:14" ht="22.5" hidden="1" thickBot="1">
      <c r="B924" s="1011"/>
      <c r="C924" s="843" t="s">
        <v>266</v>
      </c>
      <c r="D924" s="837"/>
      <c r="E924" s="1011"/>
      <c r="F924" s="1011"/>
      <c r="G924" s="1275"/>
      <c r="H924" s="1011"/>
      <c r="I924" s="1012"/>
      <c r="J924" s="1016" t="s">
        <v>190</v>
      </c>
      <c r="K924" s="1025">
        <f>ROUND(K923,0)</f>
        <v>17693</v>
      </c>
      <c r="L924" s="684" t="s">
        <v>1195</v>
      </c>
      <c r="M924" s="667"/>
      <c r="N924" s="667" t="s">
        <v>598</v>
      </c>
    </row>
    <row r="925" spans="2:14" ht="22.5" hidden="1" thickTop="1">
      <c r="B925" s="1011"/>
      <c r="C925" s="843"/>
      <c r="D925" s="837"/>
      <c r="E925" s="1011"/>
      <c r="F925" s="1011"/>
      <c r="G925" s="1275"/>
      <c r="H925" s="1011"/>
      <c r="I925" s="1012"/>
      <c r="J925" s="1016"/>
      <c r="L925" s="684"/>
      <c r="M925" s="667"/>
      <c r="N925" s="667"/>
    </row>
    <row r="926" spans="2:14" hidden="1">
      <c r="B926" s="1011"/>
      <c r="C926" s="1009" t="s">
        <v>1198</v>
      </c>
      <c r="J926" s="1247"/>
      <c r="L926" s="1245"/>
      <c r="M926" s="684"/>
    </row>
    <row r="927" spans="2:14" hidden="1">
      <c r="B927" s="1011"/>
      <c r="C927" s="684" t="s">
        <v>1202</v>
      </c>
      <c r="E927" s="1295"/>
      <c r="F927" s="1012"/>
      <c r="G927" s="1085" t="s">
        <v>1199</v>
      </c>
      <c r="H927" s="997">
        <v>21</v>
      </c>
      <c r="I927" s="1085" t="s">
        <v>243</v>
      </c>
      <c r="J927" s="1247" t="s">
        <v>190</v>
      </c>
      <c r="K927" s="997">
        <v>2340</v>
      </c>
      <c r="L927" s="1245" t="s">
        <v>1200</v>
      </c>
      <c r="M927" s="684"/>
    </row>
    <row r="928" spans="2:14" hidden="1">
      <c r="B928" s="1011"/>
      <c r="C928" s="684" t="s">
        <v>1202</v>
      </c>
      <c r="G928" s="1000" t="s">
        <v>1199</v>
      </c>
      <c r="H928" s="997">
        <v>10</v>
      </c>
      <c r="I928" s="1085" t="s">
        <v>243</v>
      </c>
      <c r="J928" s="1247" t="s">
        <v>190</v>
      </c>
      <c r="K928" s="1067">
        <f>K927*H928/H927</f>
        <v>1114.2857142857142</v>
      </c>
      <c r="L928" s="1245" t="s">
        <v>1195</v>
      </c>
      <c r="M928" s="684"/>
    </row>
    <row r="929" spans="2:13" ht="22.5" hidden="1" thickBot="1">
      <c r="B929" s="1011"/>
      <c r="C929" s="684" t="s">
        <v>266</v>
      </c>
      <c r="J929" s="1247" t="s">
        <v>190</v>
      </c>
      <c r="K929" s="1025">
        <f>ROUNDDOWN(K928,0)</f>
        <v>1114</v>
      </c>
      <c r="L929" s="1245" t="s">
        <v>1195</v>
      </c>
      <c r="M929" s="684"/>
    </row>
    <row r="930" spans="2:13" ht="22.5" hidden="1" thickTop="1">
      <c r="B930" s="1011"/>
      <c r="C930" s="684"/>
      <c r="J930" s="1247"/>
      <c r="L930" s="1245"/>
      <c r="M930" s="684"/>
    </row>
    <row r="931" spans="2:13" hidden="1">
      <c r="B931" s="1011"/>
      <c r="C931" s="1009" t="s">
        <v>1201</v>
      </c>
      <c r="J931" s="1247"/>
      <c r="L931" s="1245"/>
      <c r="M931" s="684"/>
    </row>
    <row r="932" spans="2:13" hidden="1">
      <c r="B932" s="1011"/>
      <c r="C932" s="684" t="s">
        <v>1203</v>
      </c>
      <c r="H932" s="997">
        <v>1</v>
      </c>
      <c r="I932" s="1085" t="s">
        <v>326</v>
      </c>
      <c r="J932" s="1247" t="s">
        <v>190</v>
      </c>
      <c r="K932" s="1067">
        <v>350</v>
      </c>
      <c r="L932" s="1245" t="s">
        <v>1200</v>
      </c>
      <c r="M932" s="684"/>
    </row>
    <row r="933" spans="2:13" ht="22.5" hidden="1" thickBot="1">
      <c r="B933" s="1011"/>
      <c r="C933" s="684" t="s">
        <v>266</v>
      </c>
      <c r="J933" s="1247" t="s">
        <v>190</v>
      </c>
      <c r="K933" s="1025">
        <f>ROUNDDOWN(K932,0)</f>
        <v>350</v>
      </c>
      <c r="L933" s="1245" t="s">
        <v>1195</v>
      </c>
      <c r="M933" s="684"/>
    </row>
    <row r="934" spans="2:13" ht="22.5" hidden="1" thickTop="1">
      <c r="B934" s="1011"/>
      <c r="C934" s="1015"/>
      <c r="J934" s="1247"/>
      <c r="L934" s="1245"/>
    </row>
    <row r="935" spans="2:13" hidden="1">
      <c r="B935" s="1011"/>
      <c r="C935" s="1009" t="s">
        <v>394</v>
      </c>
      <c r="J935" s="1247"/>
      <c r="L935" s="1245"/>
      <c r="M935" s="684"/>
    </row>
    <row r="936" spans="2:13" hidden="1">
      <c r="B936" s="1011"/>
      <c r="C936" s="684" t="s">
        <v>410</v>
      </c>
      <c r="E936" s="1295" t="s">
        <v>190</v>
      </c>
      <c r="F936" s="1012">
        <v>100</v>
      </c>
      <c r="G936" s="1085" t="s">
        <v>255</v>
      </c>
      <c r="J936" s="1247"/>
      <c r="L936" s="1245"/>
      <c r="M936" s="667" t="s">
        <v>193</v>
      </c>
    </row>
    <row r="937" spans="2:13" hidden="1">
      <c r="B937" s="1011"/>
      <c r="C937" s="684" t="s">
        <v>1869</v>
      </c>
      <c r="E937" s="1295" t="s">
        <v>190</v>
      </c>
      <c r="F937" s="1012">
        <v>121</v>
      </c>
      <c r="G937" s="1085" t="s">
        <v>326</v>
      </c>
      <c r="H937" s="997">
        <v>215</v>
      </c>
      <c r="I937" s="1012" t="s">
        <v>238</v>
      </c>
      <c r="J937" s="1247" t="s">
        <v>190</v>
      </c>
      <c r="K937" s="997">
        <f>H937*F937</f>
        <v>26015</v>
      </c>
      <c r="L937" s="667" t="s">
        <v>238</v>
      </c>
      <c r="M937" s="667" t="s">
        <v>234</v>
      </c>
    </row>
    <row r="938" spans="2:13" hidden="1">
      <c r="B938" s="1011"/>
      <c r="C938" s="684" t="s">
        <v>395</v>
      </c>
      <c r="E938" s="1295" t="s">
        <v>190</v>
      </c>
      <c r="F938" s="1012">
        <v>30.1</v>
      </c>
      <c r="G938" s="1085" t="s">
        <v>324</v>
      </c>
      <c r="H938" s="997">
        <f>ข้อมูลแหล่งราคาวัสดุ!J83</f>
        <v>397.05892351274787</v>
      </c>
      <c r="I938" s="1012" t="s">
        <v>238</v>
      </c>
      <c r="J938" s="1247" t="s">
        <v>190</v>
      </c>
      <c r="K938" s="997">
        <f t="shared" ref="K938:K944" si="56">H938*F938</f>
        <v>11951.473597733711</v>
      </c>
      <c r="L938" s="667" t="s">
        <v>238</v>
      </c>
      <c r="M938" s="667" t="s">
        <v>239</v>
      </c>
    </row>
    <row r="939" spans="2:13" hidden="1">
      <c r="B939" s="1011"/>
      <c r="C939" s="684" t="s">
        <v>396</v>
      </c>
      <c r="E939" s="1295" t="s">
        <v>190</v>
      </c>
      <c r="F939" s="1012">
        <v>60.2</v>
      </c>
      <c r="G939" s="807" t="s">
        <v>324</v>
      </c>
      <c r="H939" s="997">
        <f>ข้อมูลแหล่งราคาวัสดุ!J83</f>
        <v>397.05892351274787</v>
      </c>
      <c r="I939" s="1012" t="s">
        <v>238</v>
      </c>
      <c r="J939" s="1247" t="s">
        <v>190</v>
      </c>
      <c r="K939" s="997">
        <f t="shared" si="56"/>
        <v>23902.947195467423</v>
      </c>
      <c r="L939" s="667" t="s">
        <v>238</v>
      </c>
      <c r="M939" s="667" t="s">
        <v>244</v>
      </c>
    </row>
    <row r="940" spans="2:13" hidden="1">
      <c r="B940" s="1011"/>
      <c r="C940" s="684" t="s">
        <v>397</v>
      </c>
      <c r="E940" s="1295" t="s">
        <v>190</v>
      </c>
      <c r="F940" s="1012">
        <v>13.68</v>
      </c>
      <c r="G940" s="807" t="s">
        <v>324</v>
      </c>
      <c r="H940" s="997">
        <f>ข้อมูลแหล่งราคาวัสดุ!J83</f>
        <v>397.05892351274787</v>
      </c>
      <c r="I940" s="1012" t="s">
        <v>238</v>
      </c>
      <c r="J940" s="1247" t="s">
        <v>190</v>
      </c>
      <c r="K940" s="997">
        <f t="shared" si="56"/>
        <v>5431.7660736543903</v>
      </c>
      <c r="L940" s="667" t="s">
        <v>238</v>
      </c>
      <c r="M940" s="667" t="s">
        <v>236</v>
      </c>
    </row>
    <row r="941" spans="2:13" hidden="1">
      <c r="B941" s="1011"/>
      <c r="C941" s="684" t="s">
        <v>1870</v>
      </c>
      <c r="E941" s="1295" t="s">
        <v>190</v>
      </c>
      <c r="F941" s="1012">
        <v>24.2</v>
      </c>
      <c r="G941" s="807" t="s">
        <v>242</v>
      </c>
      <c r="H941" s="997">
        <v>58</v>
      </c>
      <c r="I941" s="1012" t="s">
        <v>238</v>
      </c>
      <c r="J941" s="1247" t="s">
        <v>190</v>
      </c>
      <c r="K941" s="997">
        <f t="shared" si="56"/>
        <v>1403.6</v>
      </c>
      <c r="L941" s="667" t="s">
        <v>238</v>
      </c>
      <c r="M941" s="667" t="s">
        <v>249</v>
      </c>
    </row>
    <row r="942" spans="2:13" hidden="1">
      <c r="B942" s="1011"/>
      <c r="C942" s="684" t="s">
        <v>1871</v>
      </c>
      <c r="E942" s="1295" t="s">
        <v>190</v>
      </c>
      <c r="F942" s="1012">
        <v>60.5</v>
      </c>
      <c r="G942" s="807" t="s">
        <v>242</v>
      </c>
      <c r="H942" s="997">
        <v>58</v>
      </c>
      <c r="I942" s="1012" t="s">
        <v>238</v>
      </c>
      <c r="J942" s="1247" t="s">
        <v>190</v>
      </c>
      <c r="K942" s="997">
        <f t="shared" si="56"/>
        <v>3509</v>
      </c>
      <c r="L942" s="667" t="s">
        <v>238</v>
      </c>
      <c r="M942" s="667" t="s">
        <v>246</v>
      </c>
    </row>
    <row r="943" spans="2:13" hidden="1">
      <c r="B943" s="1011"/>
      <c r="C943" s="684" t="s">
        <v>398</v>
      </c>
      <c r="E943" s="1295" t="s">
        <v>190</v>
      </c>
      <c r="F943" s="1012">
        <v>25</v>
      </c>
      <c r="G943" s="807" t="s">
        <v>242</v>
      </c>
      <c r="H943" s="997">
        <f>ข้อมูลแหล่งราคาวัสดุ!J55</f>
        <v>29.137609999999999</v>
      </c>
      <c r="I943" s="1012" t="s">
        <v>238</v>
      </c>
      <c r="J943" s="1247" t="s">
        <v>190</v>
      </c>
      <c r="K943" s="997">
        <f t="shared" si="56"/>
        <v>728.44024999999999</v>
      </c>
      <c r="L943" s="667" t="s">
        <v>238</v>
      </c>
      <c r="M943" s="667" t="s">
        <v>247</v>
      </c>
    </row>
    <row r="944" spans="2:13" hidden="1">
      <c r="B944" s="1011"/>
      <c r="C944" s="684" t="s">
        <v>399</v>
      </c>
      <c r="E944" s="1295" t="s">
        <v>190</v>
      </c>
      <c r="F944" s="1012">
        <v>100</v>
      </c>
      <c r="G944" s="807" t="s">
        <v>255</v>
      </c>
      <c r="H944" s="997">
        <v>103</v>
      </c>
      <c r="I944" s="1012" t="s">
        <v>238</v>
      </c>
      <c r="J944" s="1247" t="s">
        <v>190</v>
      </c>
      <c r="K944" s="997">
        <f t="shared" si="56"/>
        <v>10300</v>
      </c>
      <c r="L944" s="667" t="s">
        <v>238</v>
      </c>
      <c r="M944" s="667" t="s">
        <v>262</v>
      </c>
    </row>
    <row r="945" spans="2:21" hidden="1">
      <c r="B945" s="1011"/>
      <c r="C945" s="682" t="s">
        <v>195</v>
      </c>
      <c r="E945" s="1012"/>
      <c r="F945" s="1012"/>
      <c r="H945" s="1011"/>
      <c r="J945" s="1247" t="s">
        <v>190</v>
      </c>
      <c r="K945" s="997">
        <f>SUM(K937:K944)</f>
        <v>83242.227116855531</v>
      </c>
      <c r="L945" s="667" t="s">
        <v>238</v>
      </c>
      <c r="M945" s="667" t="s">
        <v>263</v>
      </c>
    </row>
    <row r="946" spans="2:21" hidden="1">
      <c r="B946" s="1011"/>
      <c r="C946" s="682" t="s">
        <v>400</v>
      </c>
      <c r="E946" s="1295" t="s">
        <v>190</v>
      </c>
      <c r="F946" s="1296">
        <f>K945</f>
        <v>83242.227116855531</v>
      </c>
      <c r="G946" s="1000" t="s">
        <v>401</v>
      </c>
      <c r="H946" s="1011">
        <f>F936</f>
        <v>100</v>
      </c>
      <c r="J946" s="1247" t="s">
        <v>190</v>
      </c>
      <c r="K946" s="1067">
        <f>F946/H946</f>
        <v>832.42227116855531</v>
      </c>
      <c r="L946" s="667" t="s">
        <v>238</v>
      </c>
      <c r="M946" s="667" t="s">
        <v>265</v>
      </c>
    </row>
    <row r="947" spans="2:21" ht="22.5" hidden="1" thickBot="1">
      <c r="B947" s="1011"/>
      <c r="C947" s="684" t="s">
        <v>266</v>
      </c>
      <c r="J947" s="1247" t="s">
        <v>190</v>
      </c>
      <c r="K947" s="1025">
        <f>ROUNDDOWN(K946,0)</f>
        <v>832</v>
      </c>
      <c r="L947" s="667" t="s">
        <v>191</v>
      </c>
      <c r="M947" s="667"/>
      <c r="N947" s="667" t="s">
        <v>855</v>
      </c>
    </row>
    <row r="948" spans="2:21" ht="22.5" hidden="1" thickTop="1">
      <c r="B948" s="1011"/>
      <c r="C948" s="1015"/>
      <c r="J948" s="1247"/>
      <c r="L948" s="1245"/>
      <c r="M948" s="684"/>
    </row>
    <row r="949" spans="2:21" hidden="1">
      <c r="B949" s="1244" t="str">
        <f>ปร.4_2!C20</f>
        <v>1.1.2</v>
      </c>
      <c r="C949" s="1009" t="s">
        <v>31</v>
      </c>
      <c r="J949" s="1247"/>
      <c r="L949" s="1245"/>
      <c r="M949" s="684"/>
    </row>
    <row r="950" spans="2:21" hidden="1">
      <c r="B950" s="1023"/>
      <c r="C950" s="1002" t="str">
        <f>ปร.4_2!D21</f>
        <v>1.2.2(1) ตอม่อตับริมแบบ ช่วง 00.00 ม. และ ช่วง 24.00 ม.(P)</v>
      </c>
      <c r="J950" s="1247"/>
      <c r="L950" s="1245"/>
      <c r="M950" s="684"/>
    </row>
    <row r="951" spans="2:21" hidden="1">
      <c r="B951" s="1012"/>
      <c r="C951" s="684" t="s">
        <v>402</v>
      </c>
      <c r="E951" s="1295" t="s">
        <v>190</v>
      </c>
      <c r="F951" s="997">
        <v>15.41</v>
      </c>
      <c r="G951" s="747" t="s">
        <v>251</v>
      </c>
      <c r="H951" s="1012">
        <f>M1226</f>
        <v>2326</v>
      </c>
      <c r="I951" s="1012" t="s">
        <v>238</v>
      </c>
      <c r="J951" s="1247" t="s">
        <v>190</v>
      </c>
      <c r="K951" s="997">
        <f>F951*H951</f>
        <v>35843.660000000003</v>
      </c>
      <c r="L951" s="667" t="s">
        <v>238</v>
      </c>
      <c r="M951" s="667" t="s">
        <v>193</v>
      </c>
      <c r="U951" s="978"/>
    </row>
    <row r="952" spans="2:21" hidden="1">
      <c r="B952" s="1012"/>
      <c r="C952" s="684" t="s">
        <v>403</v>
      </c>
      <c r="E952" s="1295" t="s">
        <v>190</v>
      </c>
      <c r="F952" s="997">
        <v>119.08</v>
      </c>
      <c r="G952" s="1085" t="s">
        <v>255</v>
      </c>
      <c r="H952" s="1012">
        <f>K1484</f>
        <v>336</v>
      </c>
      <c r="I952" s="1012" t="s">
        <v>238</v>
      </c>
      <c r="J952" s="1247" t="s">
        <v>190</v>
      </c>
      <c r="K952" s="997">
        <f t="shared" ref="K952:K964" si="57">F952*H952</f>
        <v>40010.879999999997</v>
      </c>
      <c r="L952" s="667" t="s">
        <v>238</v>
      </c>
      <c r="M952" s="667" t="s">
        <v>234</v>
      </c>
      <c r="U952" s="978"/>
    </row>
    <row r="953" spans="2:21" hidden="1">
      <c r="B953" s="1012"/>
      <c r="C953" s="684" t="s">
        <v>5</v>
      </c>
      <c r="E953" s="1012"/>
      <c r="I953" s="1012"/>
      <c r="J953" s="1247"/>
      <c r="L953" s="667"/>
      <c r="M953" s="667"/>
      <c r="U953" s="978"/>
    </row>
    <row r="954" spans="2:21" hidden="1">
      <c r="B954" s="1012"/>
      <c r="C954" s="684" t="s">
        <v>1262</v>
      </c>
      <c r="E954" s="1295" t="s">
        <v>190</v>
      </c>
      <c r="F954" s="997">
        <v>0</v>
      </c>
      <c r="G954" s="1085" t="s">
        <v>242</v>
      </c>
      <c r="H954" s="997">
        <f>J1314</f>
        <v>22.41</v>
      </c>
      <c r="I954" s="1012" t="s">
        <v>238</v>
      </c>
      <c r="J954" s="1247" t="s">
        <v>190</v>
      </c>
      <c r="K954" s="997">
        <f t="shared" si="57"/>
        <v>0</v>
      </c>
      <c r="L954" s="667" t="s">
        <v>238</v>
      </c>
      <c r="M954" s="667" t="s">
        <v>239</v>
      </c>
      <c r="U954" s="978"/>
    </row>
    <row r="955" spans="2:21" hidden="1">
      <c r="B955" s="1012"/>
      <c r="C955" s="684" t="s">
        <v>1263</v>
      </c>
      <c r="E955" s="1295" t="s">
        <v>190</v>
      </c>
      <c r="F955" s="997">
        <v>327.45</v>
      </c>
      <c r="G955" s="1085" t="s">
        <v>242</v>
      </c>
      <c r="H955" s="997">
        <f>J1322</f>
        <v>21.43</v>
      </c>
      <c r="I955" s="1012" t="s">
        <v>238</v>
      </c>
      <c r="J955" s="1247" t="s">
        <v>190</v>
      </c>
      <c r="K955" s="997">
        <f t="shared" si="57"/>
        <v>7017.2534999999998</v>
      </c>
      <c r="L955" s="667" t="s">
        <v>238</v>
      </c>
      <c r="M955" s="667" t="s">
        <v>244</v>
      </c>
      <c r="U955" s="978"/>
    </row>
    <row r="956" spans="2:21" hidden="1">
      <c r="B956" s="1012"/>
      <c r="C956" s="684" t="s">
        <v>391</v>
      </c>
      <c r="E956" s="1295" t="s">
        <v>190</v>
      </c>
      <c r="F956" s="997">
        <v>745.97</v>
      </c>
      <c r="G956" s="1085" t="s">
        <v>242</v>
      </c>
      <c r="H956" s="997">
        <f>J1402</f>
        <v>14.96</v>
      </c>
      <c r="I956" s="1012" t="s">
        <v>238</v>
      </c>
      <c r="J956" s="1247" t="s">
        <v>190</v>
      </c>
      <c r="K956" s="997">
        <f t="shared" si="57"/>
        <v>11159.711200000002</v>
      </c>
      <c r="L956" s="667" t="s">
        <v>238</v>
      </c>
      <c r="M956" s="667" t="s">
        <v>236</v>
      </c>
      <c r="U956" s="978"/>
    </row>
    <row r="957" spans="2:21" hidden="1">
      <c r="B957" s="1012"/>
      <c r="C957" s="684" t="s">
        <v>406</v>
      </c>
      <c r="E957" s="1295" t="s">
        <v>190</v>
      </c>
      <c r="F957" s="997">
        <v>36.1</v>
      </c>
      <c r="G957" s="1085" t="s">
        <v>242</v>
      </c>
      <c r="H957" s="997">
        <f>J1410</f>
        <v>14.76</v>
      </c>
      <c r="I957" s="1012" t="s">
        <v>238</v>
      </c>
      <c r="J957" s="1247" t="s">
        <v>190</v>
      </c>
      <c r="K957" s="997">
        <f t="shared" si="57"/>
        <v>532.83600000000001</v>
      </c>
      <c r="L957" s="667" t="s">
        <v>238</v>
      </c>
      <c r="M957" s="667" t="s">
        <v>249</v>
      </c>
      <c r="U957" s="978"/>
    </row>
    <row r="958" spans="2:21" hidden="1">
      <c r="B958" s="1012"/>
      <c r="C958" s="684" t="s">
        <v>392</v>
      </c>
      <c r="E958" s="1295" t="s">
        <v>190</v>
      </c>
      <c r="F958" s="997">
        <v>1068.05</v>
      </c>
      <c r="G958" s="1085" t="s">
        <v>242</v>
      </c>
      <c r="H958" s="997">
        <f>J1426</f>
        <v>14.76</v>
      </c>
      <c r="I958" s="1012" t="s">
        <v>238</v>
      </c>
      <c r="J958" s="1247" t="s">
        <v>190</v>
      </c>
      <c r="K958" s="997">
        <f t="shared" si="57"/>
        <v>15764.418</v>
      </c>
      <c r="L958" s="667" t="s">
        <v>238</v>
      </c>
      <c r="M958" s="667" t="s">
        <v>246</v>
      </c>
      <c r="U958" s="978"/>
    </row>
    <row r="959" spans="2:21" hidden="1">
      <c r="B959" s="1012"/>
      <c r="C959" s="684" t="s">
        <v>1208</v>
      </c>
      <c r="E959" s="1295" t="s">
        <v>190</v>
      </c>
      <c r="F959" s="997">
        <v>129.32</v>
      </c>
      <c r="G959" s="1085" t="s">
        <v>242</v>
      </c>
      <c r="H959" s="997">
        <v>26.5</v>
      </c>
      <c r="I959" s="1012" t="s">
        <v>238</v>
      </c>
      <c r="J959" s="1247" t="s">
        <v>190</v>
      </c>
      <c r="K959" s="997">
        <f>F959*H959</f>
        <v>3426.98</v>
      </c>
      <c r="L959" s="667" t="s">
        <v>238</v>
      </c>
      <c r="M959" s="667" t="s">
        <v>247</v>
      </c>
      <c r="U959" s="978"/>
    </row>
    <row r="960" spans="2:21" hidden="1">
      <c r="B960" s="1012"/>
      <c r="C960" s="1172" t="s">
        <v>8</v>
      </c>
      <c r="E960" s="1295" t="s">
        <v>190</v>
      </c>
      <c r="F960" s="997">
        <f>SUM(F954:F959)</f>
        <v>2306.89</v>
      </c>
      <c r="G960" s="1085" t="s">
        <v>242</v>
      </c>
      <c r="H960" s="1097">
        <f>ROUNDDOWN(IF(F960=0,0,IF(F960/1000&gt;100,2900/1000,3300/1000)),2)</f>
        <v>3.3</v>
      </c>
      <c r="I960" s="1012" t="s">
        <v>238</v>
      </c>
      <c r="J960" s="1247" t="s">
        <v>190</v>
      </c>
      <c r="K960" s="997">
        <f t="shared" si="57"/>
        <v>7612.7369999999992</v>
      </c>
      <c r="L960" s="667" t="s">
        <v>238</v>
      </c>
      <c r="M960" s="667" t="s">
        <v>1207</v>
      </c>
    </row>
    <row r="961" spans="2:17" hidden="1">
      <c r="B961" s="1012"/>
      <c r="C961" s="1172" t="s">
        <v>384</v>
      </c>
      <c r="E961" s="1295" t="s">
        <v>190</v>
      </c>
      <c r="F961" s="997">
        <f>F960*0.025</f>
        <v>57.672249999999998</v>
      </c>
      <c r="G961" s="1085" t="s">
        <v>242</v>
      </c>
      <c r="H961" s="997">
        <f>ข้อมูลแหล่งราคาวัสดุ!D54</f>
        <v>19.739999999999998</v>
      </c>
      <c r="I961" s="1012" t="s">
        <v>238</v>
      </c>
      <c r="J961" s="1247" t="s">
        <v>190</v>
      </c>
      <c r="K961" s="997">
        <f t="shared" si="57"/>
        <v>1138.4502149999998</v>
      </c>
      <c r="L961" s="667" t="s">
        <v>238</v>
      </c>
      <c r="M961" s="667" t="s">
        <v>379</v>
      </c>
    </row>
    <row r="962" spans="2:17" hidden="1">
      <c r="B962" s="1012"/>
      <c r="C962" s="684" t="s">
        <v>404</v>
      </c>
      <c r="E962" s="1295"/>
      <c r="H962" s="976"/>
      <c r="I962" s="1012"/>
      <c r="J962" s="1247"/>
      <c r="L962" s="667"/>
      <c r="M962" s="667"/>
    </row>
    <row r="963" spans="2:17" hidden="1">
      <c r="B963" s="1012"/>
      <c r="C963" s="684" t="s">
        <v>405</v>
      </c>
      <c r="E963" s="1295" t="s">
        <v>190</v>
      </c>
      <c r="F963" s="997">
        <v>10</v>
      </c>
      <c r="G963" s="1085" t="s">
        <v>407</v>
      </c>
      <c r="H963" s="997">
        <v>600</v>
      </c>
      <c r="I963" s="1012" t="s">
        <v>238</v>
      </c>
      <c r="J963" s="1247" t="s">
        <v>190</v>
      </c>
      <c r="K963" s="997">
        <f t="shared" si="57"/>
        <v>6000</v>
      </c>
      <c r="L963" s="667" t="s">
        <v>238</v>
      </c>
      <c r="M963" s="667" t="s">
        <v>446</v>
      </c>
    </row>
    <row r="964" spans="2:17" hidden="1">
      <c r="B964" s="1012"/>
      <c r="C964" s="684" t="s">
        <v>517</v>
      </c>
      <c r="E964" s="1295" t="s">
        <v>190</v>
      </c>
      <c r="F964" s="997">
        <v>2.04</v>
      </c>
      <c r="G964" s="747" t="s">
        <v>251</v>
      </c>
      <c r="H964" s="997">
        <f>M1196</f>
        <v>1948</v>
      </c>
      <c r="I964" s="1012" t="s">
        <v>238</v>
      </c>
      <c r="J964" s="1247" t="s">
        <v>190</v>
      </c>
      <c r="K964" s="997">
        <f t="shared" si="57"/>
        <v>3973.92</v>
      </c>
      <c r="L964" s="667" t="s">
        <v>238</v>
      </c>
      <c r="M964" s="667" t="s">
        <v>524</v>
      </c>
    </row>
    <row r="965" spans="2:17" hidden="1">
      <c r="B965" s="1012"/>
      <c r="C965" s="682" t="s">
        <v>195</v>
      </c>
      <c r="J965" s="1247" t="s">
        <v>190</v>
      </c>
      <c r="K965" s="1067">
        <f>SUM(K951:K964)</f>
        <v>132480.84591500001</v>
      </c>
      <c r="L965" s="667" t="s">
        <v>238</v>
      </c>
      <c r="M965" s="667" t="s">
        <v>522</v>
      </c>
    </row>
    <row r="966" spans="2:17" ht="22.5" hidden="1" thickBot="1">
      <c r="B966" s="1012"/>
      <c r="C966" s="684" t="s">
        <v>266</v>
      </c>
      <c r="J966" s="1247" t="s">
        <v>190</v>
      </c>
      <c r="K966" s="1025">
        <f>ROUNDDOWN(K965,0)</f>
        <v>132480</v>
      </c>
      <c r="L966" s="667" t="s">
        <v>1261</v>
      </c>
      <c r="M966" s="667"/>
      <c r="N966" s="667" t="s">
        <v>598</v>
      </c>
    </row>
    <row r="967" spans="2:17" ht="22.5" hidden="1" thickTop="1">
      <c r="B967" s="1011"/>
      <c r="C967" s="1015"/>
      <c r="J967" s="1247"/>
      <c r="L967" s="1245"/>
      <c r="M967" s="684"/>
    </row>
    <row r="968" spans="2:17" hidden="1">
      <c r="B968" s="1297"/>
      <c r="C968" s="1031" t="str">
        <f>ปร.4_2!D22</f>
        <v>1.2.2(2) ตอม่อตับกลางแบบ ช่วง 8.00 + 16.00 ม.(P)</v>
      </c>
      <c r="J968" s="1247"/>
      <c r="L968" s="1245"/>
      <c r="M968" s="684"/>
    </row>
    <row r="969" spans="2:17" hidden="1">
      <c r="B969" s="1011"/>
      <c r="C969" s="684" t="s">
        <v>402</v>
      </c>
      <c r="E969" s="1295" t="s">
        <v>190</v>
      </c>
      <c r="F969" s="978">
        <v>7.71</v>
      </c>
      <c r="G969" s="747" t="s">
        <v>251</v>
      </c>
      <c r="H969" s="997">
        <f>M1226</f>
        <v>2326</v>
      </c>
      <c r="I969" s="1012" t="s">
        <v>238</v>
      </c>
      <c r="J969" s="1247" t="s">
        <v>190</v>
      </c>
      <c r="K969" s="997">
        <f>F969*H969</f>
        <v>17933.46</v>
      </c>
      <c r="L969" s="667" t="s">
        <v>238</v>
      </c>
      <c r="M969" s="667" t="s">
        <v>193</v>
      </c>
      <c r="Q969" s="976">
        <f>32.5+3.25+31.98</f>
        <v>67.73</v>
      </c>
    </row>
    <row r="970" spans="2:17" hidden="1">
      <c r="B970" s="1011"/>
      <c r="C970" s="684" t="s">
        <v>403</v>
      </c>
      <c r="E970" s="1295" t="s">
        <v>190</v>
      </c>
      <c r="F970" s="997">
        <v>45.92</v>
      </c>
      <c r="G970" s="1085" t="s">
        <v>255</v>
      </c>
      <c r="H970" s="997">
        <f>K1484</f>
        <v>336</v>
      </c>
      <c r="I970" s="1012" t="s">
        <v>238</v>
      </c>
      <c r="J970" s="1247" t="s">
        <v>190</v>
      </c>
      <c r="K970" s="997">
        <f t="shared" ref="K970:K980" si="58">F970*H970</f>
        <v>15429.12</v>
      </c>
      <c r="L970" s="667" t="s">
        <v>238</v>
      </c>
      <c r="M970" s="667" t="s">
        <v>234</v>
      </c>
      <c r="Q970" s="976">
        <f>52.86+8.67+61.86</f>
        <v>123.39</v>
      </c>
    </row>
    <row r="971" spans="2:17" hidden="1">
      <c r="B971" s="1011"/>
      <c r="C971" s="684" t="s">
        <v>5</v>
      </c>
      <c r="E971" s="1012"/>
      <c r="I971" s="1012"/>
      <c r="J971" s="1247"/>
      <c r="L971" s="667"/>
      <c r="M971" s="667"/>
    </row>
    <row r="972" spans="2:17" hidden="1">
      <c r="B972" s="1011"/>
      <c r="C972" s="684" t="s">
        <v>261</v>
      </c>
      <c r="E972" s="1295" t="s">
        <v>190</v>
      </c>
      <c r="F972" s="997">
        <v>0</v>
      </c>
      <c r="G972" s="1085" t="s">
        <v>242</v>
      </c>
      <c r="H972" s="997">
        <f>J1314</f>
        <v>22.41</v>
      </c>
      <c r="I972" s="1012" t="s">
        <v>238</v>
      </c>
      <c r="J972" s="1247" t="s">
        <v>190</v>
      </c>
      <c r="K972" s="997">
        <f>F972*H972</f>
        <v>0</v>
      </c>
      <c r="L972" s="667" t="s">
        <v>238</v>
      </c>
      <c r="M972" s="667" t="s">
        <v>239</v>
      </c>
    </row>
    <row r="973" spans="2:17" hidden="1">
      <c r="B973" s="1011"/>
      <c r="C973" s="684" t="s">
        <v>256</v>
      </c>
      <c r="E973" s="1295" t="s">
        <v>190</v>
      </c>
      <c r="F973" s="997">
        <v>42.16</v>
      </c>
      <c r="G973" s="1085" t="s">
        <v>242</v>
      </c>
      <c r="H973" s="997">
        <f>J1322</f>
        <v>21.43</v>
      </c>
      <c r="I973" s="1012" t="s">
        <v>238</v>
      </c>
      <c r="J973" s="1247" t="s">
        <v>190</v>
      </c>
      <c r="K973" s="997">
        <f t="shared" si="58"/>
        <v>903.48879999999997</v>
      </c>
      <c r="L973" s="667" t="s">
        <v>238</v>
      </c>
      <c r="M973" s="667" t="s">
        <v>244</v>
      </c>
      <c r="Q973" s="976">
        <f>73.62+906.16</f>
        <v>979.78</v>
      </c>
    </row>
    <row r="974" spans="2:17" hidden="1">
      <c r="B974" s="1011"/>
      <c r="C974" s="684" t="s">
        <v>391</v>
      </c>
      <c r="E974" s="1295" t="s">
        <v>190</v>
      </c>
      <c r="F974" s="1000">
        <v>254.85</v>
      </c>
      <c r="G974" s="1085" t="s">
        <v>242</v>
      </c>
      <c r="H974" s="997">
        <f>J1402</f>
        <v>14.96</v>
      </c>
      <c r="I974" s="1012" t="s">
        <v>238</v>
      </c>
      <c r="J974" s="1247" t="s">
        <v>190</v>
      </c>
      <c r="K974" s="997">
        <f t="shared" si="58"/>
        <v>3812.556</v>
      </c>
      <c r="L974" s="667" t="s">
        <v>238</v>
      </c>
      <c r="M974" s="667" t="s">
        <v>249</v>
      </c>
      <c r="Q974" s="976">
        <f>408.34</f>
        <v>408.34</v>
      </c>
    </row>
    <row r="975" spans="2:17" hidden="1">
      <c r="B975" s="1011"/>
      <c r="C975" s="684" t="s">
        <v>406</v>
      </c>
      <c r="E975" s="1295" t="s">
        <v>190</v>
      </c>
      <c r="F975" s="997">
        <v>0</v>
      </c>
      <c r="G975" s="1085" t="s">
        <v>242</v>
      </c>
      <c r="H975" s="997">
        <f>J1410</f>
        <v>14.76</v>
      </c>
      <c r="I975" s="1012" t="s">
        <v>238</v>
      </c>
      <c r="J975" s="1247" t="s">
        <v>190</v>
      </c>
      <c r="K975" s="997">
        <f t="shared" si="58"/>
        <v>0</v>
      </c>
      <c r="L975" s="667" t="s">
        <v>238</v>
      </c>
      <c r="M975" s="667" t="s">
        <v>246</v>
      </c>
      <c r="Q975" s="976">
        <f>3035.65+701.32+2644.76</f>
        <v>6381.7300000000005</v>
      </c>
    </row>
    <row r="976" spans="2:17" hidden="1">
      <c r="B976" s="1011"/>
      <c r="C976" s="684" t="s">
        <v>392</v>
      </c>
      <c r="E976" s="1295" t="s">
        <v>190</v>
      </c>
      <c r="F976" s="997">
        <v>927.34</v>
      </c>
      <c r="G976" s="1085" t="s">
        <v>242</v>
      </c>
      <c r="H976" s="997">
        <f>J1426</f>
        <v>14.76</v>
      </c>
      <c r="I976" s="1012" t="s">
        <v>238</v>
      </c>
      <c r="J976" s="1247" t="s">
        <v>190</v>
      </c>
      <c r="K976" s="997">
        <f t="shared" si="58"/>
        <v>13687.538399999999</v>
      </c>
      <c r="L976" s="667" t="s">
        <v>238</v>
      </c>
      <c r="M976" s="667" t="s">
        <v>247</v>
      </c>
      <c r="Q976" s="976">
        <f>2633.39</f>
        <v>2633.39</v>
      </c>
    </row>
    <row r="977" spans="2:14" hidden="1">
      <c r="B977" s="1011"/>
      <c r="C977" s="1172" t="s">
        <v>8</v>
      </c>
      <c r="E977" s="1295" t="s">
        <v>190</v>
      </c>
      <c r="F977" s="997">
        <f>SUM(F972:F976)</f>
        <v>1224.3499999999999</v>
      </c>
      <c r="G977" s="1085" t="s">
        <v>242</v>
      </c>
      <c r="H977" s="1097">
        <f>ROUNDDOWN(IF(F977=0,0,IF(F977/1000&gt;100,2900/1000,3300/1000)),2)</f>
        <v>3.3</v>
      </c>
      <c r="I977" s="1012" t="s">
        <v>238</v>
      </c>
      <c r="J977" s="1247" t="s">
        <v>190</v>
      </c>
      <c r="K977" s="997">
        <f t="shared" si="58"/>
        <v>4040.3549999999996</v>
      </c>
      <c r="L977" s="667" t="s">
        <v>238</v>
      </c>
      <c r="M977" s="667" t="s">
        <v>1207</v>
      </c>
    </row>
    <row r="978" spans="2:14" hidden="1">
      <c r="B978" s="1011"/>
      <c r="C978" s="1172" t="s">
        <v>384</v>
      </c>
      <c r="E978" s="1295" t="s">
        <v>190</v>
      </c>
      <c r="F978" s="997">
        <f>F977*0.025</f>
        <v>30.608750000000001</v>
      </c>
      <c r="G978" s="1085" t="s">
        <v>242</v>
      </c>
      <c r="H978" s="997">
        <f>ข้อมูลแหล่งราคาวัสดุ!D54</f>
        <v>19.739999999999998</v>
      </c>
      <c r="I978" s="1012" t="s">
        <v>238</v>
      </c>
      <c r="J978" s="1247" t="s">
        <v>190</v>
      </c>
      <c r="K978" s="997">
        <f t="shared" si="58"/>
        <v>604.216725</v>
      </c>
      <c r="L978" s="667" t="s">
        <v>238</v>
      </c>
      <c r="M978" s="667" t="s">
        <v>379</v>
      </c>
    </row>
    <row r="979" spans="2:14" hidden="1">
      <c r="B979" s="1011"/>
      <c r="C979" s="684" t="s">
        <v>404</v>
      </c>
      <c r="E979" s="1295"/>
      <c r="I979" s="1012"/>
      <c r="J979" s="1247"/>
      <c r="L979" s="667"/>
      <c r="M979" s="667"/>
    </row>
    <row r="980" spans="2:14" hidden="1">
      <c r="B980" s="1011"/>
      <c r="C980" s="684" t="s">
        <v>405</v>
      </c>
      <c r="E980" s="1295" t="s">
        <v>190</v>
      </c>
      <c r="F980" s="997">
        <v>20</v>
      </c>
      <c r="G980" s="1085" t="s">
        <v>407</v>
      </c>
      <c r="H980" s="997">
        <v>600</v>
      </c>
      <c r="I980" s="1012" t="s">
        <v>238</v>
      </c>
      <c r="J980" s="1247" t="s">
        <v>190</v>
      </c>
      <c r="K980" s="997">
        <f t="shared" si="58"/>
        <v>12000</v>
      </c>
      <c r="L980" s="667" t="s">
        <v>238</v>
      </c>
      <c r="M980" s="667" t="s">
        <v>523</v>
      </c>
    </row>
    <row r="981" spans="2:14" hidden="1">
      <c r="B981" s="1011"/>
      <c r="C981" s="682" t="s">
        <v>195</v>
      </c>
      <c r="J981" s="1247" t="s">
        <v>190</v>
      </c>
      <c r="K981" s="1067">
        <f>SUM(K969:K980)</f>
        <v>68410.734924999997</v>
      </c>
      <c r="L981" s="667" t="s">
        <v>238</v>
      </c>
      <c r="M981" s="667" t="s">
        <v>1264</v>
      </c>
    </row>
    <row r="982" spans="2:14" ht="22.5" hidden="1" thickBot="1">
      <c r="B982" s="1011"/>
      <c r="C982" s="684" t="s">
        <v>266</v>
      </c>
      <c r="J982" s="1247" t="s">
        <v>190</v>
      </c>
      <c r="K982" s="1025">
        <f>ROUNDDOWN(K981,0)</f>
        <v>68410</v>
      </c>
      <c r="L982" s="667" t="s">
        <v>1261</v>
      </c>
      <c r="M982" s="667"/>
      <c r="N982" s="667" t="s">
        <v>1265</v>
      </c>
    </row>
    <row r="983" spans="2:14" ht="22.5" hidden="1" thickTop="1">
      <c r="B983" s="1011"/>
      <c r="C983" s="1011"/>
      <c r="J983" s="1247"/>
      <c r="L983" s="667"/>
      <c r="M983" s="667"/>
    </row>
    <row r="984" spans="2:14" hidden="1">
      <c r="B984" s="1244" t="str">
        <f>ปร.4_2!C24</f>
        <v>1.1.3</v>
      </c>
      <c r="C984" s="1023" t="str">
        <f>ปร.4_2!D24</f>
        <v>งานพื้นสะพานหล่อในที่</v>
      </c>
      <c r="J984" s="1247"/>
      <c r="L984" s="667"/>
      <c r="M984" s="667"/>
    </row>
    <row r="985" spans="2:14" hidden="1">
      <c r="B985" s="1011"/>
      <c r="C985" s="682" t="s">
        <v>410</v>
      </c>
      <c r="D985" s="997"/>
      <c r="F985" s="997">
        <v>40</v>
      </c>
      <c r="G985" s="1000" t="s">
        <v>7</v>
      </c>
      <c r="I985" s="1012"/>
      <c r="J985" s="1016"/>
      <c r="L985" s="667"/>
      <c r="M985" s="667" t="s">
        <v>193</v>
      </c>
    </row>
    <row r="986" spans="2:14" hidden="1">
      <c r="B986" s="1011"/>
      <c r="C986" s="1245" t="s">
        <v>393</v>
      </c>
      <c r="D986" s="997"/>
      <c r="E986" s="1295" t="s">
        <v>190</v>
      </c>
      <c r="F986" s="997">
        <v>14.4</v>
      </c>
      <c r="G986" s="747" t="s">
        <v>251</v>
      </c>
      <c r="H986" s="997">
        <f>M1287</f>
        <v>2235</v>
      </c>
      <c r="I986" s="1012" t="s">
        <v>238</v>
      </c>
      <c r="J986" s="1016" t="s">
        <v>190</v>
      </c>
      <c r="K986" s="997">
        <f>F986*H986</f>
        <v>32184</v>
      </c>
      <c r="L986" s="667" t="s">
        <v>238</v>
      </c>
      <c r="M986" s="667" t="s">
        <v>234</v>
      </c>
    </row>
    <row r="987" spans="2:14" hidden="1">
      <c r="B987" s="1011"/>
      <c r="C987" s="1245" t="s">
        <v>451</v>
      </c>
      <c r="D987" s="997"/>
      <c r="E987" s="1295" t="s">
        <v>190</v>
      </c>
      <c r="F987" s="997">
        <v>8.9600000000000009</v>
      </c>
      <c r="G987" s="1085" t="s">
        <v>255</v>
      </c>
      <c r="H987" s="997">
        <f>K1471</f>
        <v>227</v>
      </c>
      <c r="I987" s="1012" t="s">
        <v>238</v>
      </c>
      <c r="J987" s="1016" t="s">
        <v>190</v>
      </c>
      <c r="K987" s="997">
        <f>F987*H987</f>
        <v>2033.9200000000003</v>
      </c>
      <c r="L987" s="667" t="s">
        <v>238</v>
      </c>
      <c r="M987" s="667" t="s">
        <v>450</v>
      </c>
    </row>
    <row r="988" spans="2:14" hidden="1">
      <c r="B988" s="1011"/>
      <c r="C988" s="1245" t="s">
        <v>1872</v>
      </c>
      <c r="D988" s="997"/>
      <c r="E988" s="1295" t="s">
        <v>190</v>
      </c>
      <c r="F988" s="997">
        <v>209</v>
      </c>
      <c r="G988" s="1085" t="s">
        <v>326</v>
      </c>
      <c r="H988" s="997">
        <v>26.5</v>
      </c>
      <c r="I988" s="1012" t="s">
        <v>238</v>
      </c>
      <c r="J988" s="1016" t="s">
        <v>190</v>
      </c>
      <c r="K988" s="997">
        <f>F988*H988</f>
        <v>5538.5</v>
      </c>
      <c r="L988" s="667" t="s">
        <v>238</v>
      </c>
      <c r="M988" s="667" t="s">
        <v>525</v>
      </c>
    </row>
    <row r="989" spans="2:14" hidden="1">
      <c r="B989" s="1011"/>
      <c r="C989" s="684" t="s">
        <v>5</v>
      </c>
      <c r="D989" s="997"/>
      <c r="E989" s="1295"/>
      <c r="I989" s="1012"/>
      <c r="J989" s="1016"/>
      <c r="L989" s="667"/>
    </row>
    <row r="990" spans="2:14" hidden="1">
      <c r="B990" s="1011"/>
      <c r="C990" s="684" t="s">
        <v>256</v>
      </c>
      <c r="D990" s="997"/>
      <c r="E990" s="1295" t="s">
        <v>190</v>
      </c>
      <c r="F990" s="997">
        <v>47.56</v>
      </c>
      <c r="G990" s="1085" t="s">
        <v>242</v>
      </c>
      <c r="H990" s="997">
        <f>J1322</f>
        <v>21.43</v>
      </c>
      <c r="I990" s="1012" t="s">
        <v>238</v>
      </c>
      <c r="J990" s="1016" t="s">
        <v>190</v>
      </c>
      <c r="K990" s="997">
        <f>F990*H990</f>
        <v>1019.2108000000001</v>
      </c>
      <c r="L990" s="667" t="s">
        <v>238</v>
      </c>
      <c r="M990" s="667" t="s">
        <v>236</v>
      </c>
    </row>
    <row r="991" spans="2:14" hidden="1">
      <c r="B991" s="1011"/>
      <c r="C991" s="684" t="s">
        <v>391</v>
      </c>
      <c r="D991" s="997"/>
      <c r="E991" s="1295" t="s">
        <v>190</v>
      </c>
      <c r="F991" s="997">
        <v>832.07</v>
      </c>
      <c r="G991" s="1085" t="s">
        <v>242</v>
      </c>
      <c r="H991" s="997">
        <f>J1402</f>
        <v>14.96</v>
      </c>
      <c r="I991" s="1012" t="s">
        <v>238</v>
      </c>
      <c r="J991" s="1016" t="s">
        <v>190</v>
      </c>
      <c r="K991" s="997">
        <f>F991*H991</f>
        <v>12447.767200000002</v>
      </c>
      <c r="L991" s="667" t="s">
        <v>238</v>
      </c>
      <c r="M991" s="667" t="s">
        <v>249</v>
      </c>
    </row>
    <row r="992" spans="2:14" hidden="1">
      <c r="B992" s="1011"/>
      <c r="C992" s="684" t="s">
        <v>411</v>
      </c>
      <c r="D992" s="997"/>
      <c r="E992" s="1295" t="s">
        <v>190</v>
      </c>
      <c r="F992" s="997">
        <v>1047.46</v>
      </c>
      <c r="G992" s="1085" t="s">
        <v>242</v>
      </c>
      <c r="H992" s="997">
        <f>J1418</f>
        <v>14.76</v>
      </c>
      <c r="I992" s="1012" t="s">
        <v>238</v>
      </c>
      <c r="J992" s="1016" t="s">
        <v>190</v>
      </c>
      <c r="K992" s="997">
        <f>F992*H992</f>
        <v>15460.509599999999</v>
      </c>
      <c r="L992" s="667" t="s">
        <v>238</v>
      </c>
      <c r="M992" s="667" t="s">
        <v>246</v>
      </c>
    </row>
    <row r="993" spans="2:14" hidden="1">
      <c r="B993" s="1011"/>
      <c r="C993" s="1172" t="s">
        <v>8</v>
      </c>
      <c r="D993" s="997"/>
      <c r="E993" s="1295" t="s">
        <v>190</v>
      </c>
      <c r="F993" s="997">
        <f>SUM(F990:F992)</f>
        <v>1927.0900000000001</v>
      </c>
      <c r="G993" s="1085" t="s">
        <v>242</v>
      </c>
      <c r="H993" s="1097">
        <f>ROUNDDOWN(IF(F993=0,0,IF(F993/1000&gt;100,2900/1000,3300/1000)),2)</f>
        <v>3.3</v>
      </c>
      <c r="I993" s="1012" t="s">
        <v>238</v>
      </c>
      <c r="J993" s="1016" t="s">
        <v>190</v>
      </c>
      <c r="K993" s="997">
        <f>F993*H993</f>
        <v>6359.3969999999999</v>
      </c>
      <c r="L993" s="667" t="s">
        <v>238</v>
      </c>
      <c r="M993" s="667" t="s">
        <v>891</v>
      </c>
    </row>
    <row r="994" spans="2:14" hidden="1">
      <c r="B994" s="1011"/>
      <c r="C994" s="1172" t="s">
        <v>384</v>
      </c>
      <c r="D994" s="997"/>
      <c r="E994" s="1295" t="s">
        <v>190</v>
      </c>
      <c r="F994" s="997">
        <f>F993*0.025</f>
        <v>48.177250000000008</v>
      </c>
      <c r="G994" s="1085" t="s">
        <v>242</v>
      </c>
      <c r="H994" s="997">
        <f>ข้อมูลแหล่งราคาวัสดุ!D54</f>
        <v>19.739999999999998</v>
      </c>
      <c r="I994" s="1012" t="s">
        <v>238</v>
      </c>
      <c r="J994" s="1016" t="s">
        <v>190</v>
      </c>
      <c r="K994" s="997">
        <f>F994*H994</f>
        <v>951.01891500000011</v>
      </c>
      <c r="L994" s="667" t="s">
        <v>238</v>
      </c>
      <c r="M994" s="667" t="s">
        <v>412</v>
      </c>
    </row>
    <row r="995" spans="2:14" hidden="1">
      <c r="B995" s="1011"/>
      <c r="C995" s="843" t="s">
        <v>233</v>
      </c>
      <c r="D995" s="997"/>
      <c r="J995" s="1016" t="s">
        <v>190</v>
      </c>
      <c r="K995" s="1067">
        <f>SUM(K986:K994)</f>
        <v>75994.323514999996</v>
      </c>
      <c r="L995" s="667" t="s">
        <v>238</v>
      </c>
      <c r="M995" s="667" t="s">
        <v>601</v>
      </c>
    </row>
    <row r="996" spans="2:14" ht="22.5" hidden="1" thickBot="1">
      <c r="B996" s="1011"/>
      <c r="C996" s="843" t="s">
        <v>195</v>
      </c>
      <c r="D996" s="997"/>
      <c r="J996" s="1016" t="s">
        <v>190</v>
      </c>
      <c r="K996" s="1025">
        <f>ROUNDDOWN(K995/F985,0)</f>
        <v>1899</v>
      </c>
      <c r="L996" s="667" t="s">
        <v>191</v>
      </c>
      <c r="N996" s="667" t="s">
        <v>265</v>
      </c>
    </row>
    <row r="997" spans="2:14" ht="22.5" hidden="1" thickTop="1">
      <c r="B997" s="1011"/>
      <c r="C997" s="1011"/>
      <c r="J997" s="1247"/>
      <c r="M997" s="667"/>
    </row>
    <row r="998" spans="2:14" hidden="1">
      <c r="B998" s="1244" t="str">
        <f>ปร.4_2!C25</f>
        <v>1.1.4</v>
      </c>
      <c r="C998" s="1023" t="s">
        <v>33</v>
      </c>
      <c r="J998" s="1247"/>
      <c r="L998" s="667"/>
      <c r="M998" s="667"/>
    </row>
    <row r="999" spans="2:14" hidden="1">
      <c r="B999" s="1023"/>
      <c r="C999" s="1009" t="str">
        <f>ปร.4_2!D26</f>
        <v>1.1.4(1) หล่อคานอัดแรง Plank - Girder สำหรับช่วงความยาว 5.00 - 12.00 ม.(ตัวริม)</v>
      </c>
      <c r="D999" s="837"/>
      <c r="E999" s="1012"/>
      <c r="F999" s="1012"/>
      <c r="G999" s="1012"/>
      <c r="H999" s="1012"/>
      <c r="I999" s="1012"/>
      <c r="J999" s="1012"/>
      <c r="K999" s="1012"/>
      <c r="L999" s="667"/>
      <c r="M999" s="667"/>
    </row>
    <row r="1000" spans="2:14" hidden="1">
      <c r="B1000" s="1011"/>
      <c r="C1000" s="1245" t="s">
        <v>408</v>
      </c>
      <c r="D1000" s="1012"/>
      <c r="E1000" s="1295" t="s">
        <v>190</v>
      </c>
      <c r="F1000" s="1038">
        <v>1.92</v>
      </c>
      <c r="G1000" s="747" t="s">
        <v>251</v>
      </c>
      <c r="H1000" s="1012">
        <f>M1246</f>
        <v>2448</v>
      </c>
      <c r="I1000" s="1012" t="s">
        <v>238</v>
      </c>
      <c r="J1000" s="1016" t="s">
        <v>190</v>
      </c>
      <c r="K1000" s="978">
        <f>F1000*H1000</f>
        <v>4700.16</v>
      </c>
      <c r="L1000" s="667" t="s">
        <v>238</v>
      </c>
      <c r="M1000" s="667" t="s">
        <v>193</v>
      </c>
    </row>
    <row r="1001" spans="2:14" hidden="1">
      <c r="B1001" s="1011"/>
      <c r="C1001" s="1245" t="s">
        <v>449</v>
      </c>
      <c r="D1001" s="1012"/>
      <c r="E1001" s="1295" t="s">
        <v>190</v>
      </c>
      <c r="F1001" s="1038">
        <v>12.37</v>
      </c>
      <c r="G1001" s="1085" t="s">
        <v>255</v>
      </c>
      <c r="H1001" s="1012">
        <f>K1454</f>
        <v>254</v>
      </c>
      <c r="I1001" s="1012" t="s">
        <v>238</v>
      </c>
      <c r="J1001" s="1016" t="s">
        <v>190</v>
      </c>
      <c r="K1001" s="978">
        <f t="shared" ref="K1001:K1011" si="59">F1001*H1001</f>
        <v>3141.98</v>
      </c>
      <c r="L1001" s="667" t="s">
        <v>238</v>
      </c>
      <c r="M1001" s="667" t="s">
        <v>234</v>
      </c>
    </row>
    <row r="1002" spans="2:14" hidden="1">
      <c r="B1002" s="1011"/>
      <c r="C1002" s="684" t="s">
        <v>5</v>
      </c>
      <c r="D1002" s="1012"/>
      <c r="E1002" s="1295"/>
      <c r="F1002" s="1295"/>
      <c r="G1002" s="747"/>
      <c r="H1002" s="837"/>
      <c r="I1002" s="1012"/>
      <c r="J1002" s="1016"/>
      <c r="K1002" s="978"/>
      <c r="L1002" s="667"/>
      <c r="M1002" s="667"/>
    </row>
    <row r="1003" spans="2:14" hidden="1">
      <c r="B1003" s="1011"/>
      <c r="C1003" s="684" t="s">
        <v>1262</v>
      </c>
      <c r="D1003" s="1012"/>
      <c r="E1003" s="1295" t="s">
        <v>190</v>
      </c>
      <c r="F1003" s="1295">
        <v>0</v>
      </c>
      <c r="G1003" s="1085" t="s">
        <v>242</v>
      </c>
      <c r="H1003" s="1012">
        <f>J1314</f>
        <v>22.41</v>
      </c>
      <c r="I1003" s="1012" t="s">
        <v>238</v>
      </c>
      <c r="J1003" s="1016" t="s">
        <v>190</v>
      </c>
      <c r="K1003" s="978">
        <f t="shared" si="59"/>
        <v>0</v>
      </c>
      <c r="L1003" s="667" t="s">
        <v>238</v>
      </c>
      <c r="M1003" s="667" t="s">
        <v>239</v>
      </c>
    </row>
    <row r="1004" spans="2:14" hidden="1">
      <c r="B1004" s="1011"/>
      <c r="C1004" s="684" t="s">
        <v>1263</v>
      </c>
      <c r="D1004" s="1012"/>
      <c r="E1004" s="1295" t="s">
        <v>190</v>
      </c>
      <c r="F1004" s="1038">
        <v>107.71</v>
      </c>
      <c r="G1004" s="1085" t="s">
        <v>242</v>
      </c>
      <c r="H1004" s="1012">
        <f>J1322</f>
        <v>21.43</v>
      </c>
      <c r="I1004" s="1012" t="s">
        <v>238</v>
      </c>
      <c r="J1004" s="1016" t="s">
        <v>190</v>
      </c>
      <c r="K1004" s="978">
        <f>F1004*H1004</f>
        <v>2308.2253000000001</v>
      </c>
      <c r="L1004" s="667" t="s">
        <v>238</v>
      </c>
      <c r="M1004" s="667" t="s">
        <v>244</v>
      </c>
    </row>
    <row r="1005" spans="2:14" hidden="1">
      <c r="B1005" s="1011"/>
      <c r="C1005" s="684" t="s">
        <v>893</v>
      </c>
      <c r="D1005" s="1012"/>
      <c r="E1005" s="1295" t="s">
        <v>190</v>
      </c>
      <c r="F1005" s="1038">
        <v>17.760000000000002</v>
      </c>
      <c r="G1005" s="1085" t="s">
        <v>242</v>
      </c>
      <c r="H1005" s="1012">
        <f>J1402</f>
        <v>14.96</v>
      </c>
      <c r="I1005" s="1012" t="s">
        <v>238</v>
      </c>
      <c r="J1005" s="1016" t="s">
        <v>190</v>
      </c>
      <c r="K1005" s="978">
        <f t="shared" si="59"/>
        <v>265.68960000000004</v>
      </c>
      <c r="L1005" s="667" t="s">
        <v>238</v>
      </c>
      <c r="M1005" s="667" t="s">
        <v>236</v>
      </c>
    </row>
    <row r="1006" spans="2:14" hidden="1">
      <c r="B1006" s="1011"/>
      <c r="C1006" s="684" t="s">
        <v>1174</v>
      </c>
      <c r="D1006" s="1012"/>
      <c r="E1006" s="1295" t="s">
        <v>190</v>
      </c>
      <c r="F1006" s="1038">
        <v>100.68</v>
      </c>
      <c r="G1006" s="1085" t="s">
        <v>242</v>
      </c>
      <c r="H1006" s="1012">
        <f>J1410</f>
        <v>14.76</v>
      </c>
      <c r="I1006" s="1012" t="s">
        <v>238</v>
      </c>
      <c r="J1006" s="1016" t="s">
        <v>190</v>
      </c>
      <c r="K1006" s="978">
        <f t="shared" si="59"/>
        <v>1486.0368000000001</v>
      </c>
      <c r="L1006" s="667" t="s">
        <v>238</v>
      </c>
      <c r="M1006" s="667" t="s">
        <v>249</v>
      </c>
    </row>
    <row r="1007" spans="2:14" hidden="1">
      <c r="B1007" s="1011"/>
      <c r="C1007" s="684" t="s">
        <v>1175</v>
      </c>
      <c r="D1007" s="1012"/>
      <c r="E1007" s="1295" t="s">
        <v>190</v>
      </c>
      <c r="F1007" s="1038">
        <v>2.71</v>
      </c>
      <c r="G1007" s="1085" t="s">
        <v>242</v>
      </c>
      <c r="H1007" s="1012">
        <f>J1418</f>
        <v>14.76</v>
      </c>
      <c r="I1007" s="1012" t="s">
        <v>238</v>
      </c>
      <c r="J1007" s="1016" t="s">
        <v>190</v>
      </c>
      <c r="K1007" s="978">
        <f>F1007*H1007</f>
        <v>39.999600000000001</v>
      </c>
      <c r="L1007" s="667" t="s">
        <v>238</v>
      </c>
      <c r="M1007" s="667" t="s">
        <v>246</v>
      </c>
    </row>
    <row r="1008" spans="2:14" hidden="1">
      <c r="B1008" s="1011"/>
      <c r="C1008" s="684" t="s">
        <v>1176</v>
      </c>
      <c r="D1008" s="1012"/>
      <c r="E1008" s="1295" t="s">
        <v>190</v>
      </c>
      <c r="F1008" s="1038">
        <v>6.36</v>
      </c>
      <c r="G1008" s="1085" t="s">
        <v>242</v>
      </c>
      <c r="H1008" s="1012">
        <f>J1426</f>
        <v>14.76</v>
      </c>
      <c r="I1008" s="1012" t="s">
        <v>238</v>
      </c>
      <c r="J1008" s="1016" t="s">
        <v>190</v>
      </c>
      <c r="K1008" s="978">
        <f>F1008*H1008</f>
        <v>93.87360000000001</v>
      </c>
      <c r="L1008" s="667" t="s">
        <v>238</v>
      </c>
      <c r="M1008" s="667" t="s">
        <v>247</v>
      </c>
    </row>
    <row r="1009" spans="2:14" hidden="1">
      <c r="B1009" s="1011"/>
      <c r="C1009" s="1172" t="s">
        <v>8</v>
      </c>
      <c r="D1009" s="1175"/>
      <c r="E1009" s="1295" t="s">
        <v>190</v>
      </c>
      <c r="F1009" s="1295">
        <f>SUM(F1003:F1008)</f>
        <v>235.22000000000003</v>
      </c>
      <c r="G1009" s="1085" t="s">
        <v>242</v>
      </c>
      <c r="H1009" s="1097">
        <f>ROUNDDOWN(IF(F1009=0,0,IF(F1009/1000&gt;100,2900/1000,3300/1000)),2)</f>
        <v>3.3</v>
      </c>
      <c r="I1009" s="1012" t="s">
        <v>238</v>
      </c>
      <c r="J1009" s="1016" t="s">
        <v>190</v>
      </c>
      <c r="K1009" s="978">
        <f t="shared" si="59"/>
        <v>776.226</v>
      </c>
      <c r="L1009" s="667" t="s">
        <v>238</v>
      </c>
      <c r="M1009" s="667" t="s">
        <v>1268</v>
      </c>
    </row>
    <row r="1010" spans="2:14" hidden="1">
      <c r="B1010" s="1011"/>
      <c r="C1010" s="1172" t="s">
        <v>384</v>
      </c>
      <c r="D1010" s="1012"/>
      <c r="E1010" s="1295" t="s">
        <v>190</v>
      </c>
      <c r="F1010" s="1295">
        <f>F1009*0.025</f>
        <v>5.8805000000000014</v>
      </c>
      <c r="G1010" s="1085" t="s">
        <v>242</v>
      </c>
      <c r="H1010" s="1012">
        <f>ข้อมูลแหล่งราคาวัสดุ!D54</f>
        <v>19.739999999999998</v>
      </c>
      <c r="I1010" s="1012" t="s">
        <v>238</v>
      </c>
      <c r="J1010" s="1016" t="s">
        <v>190</v>
      </c>
      <c r="K1010" s="978">
        <f t="shared" si="59"/>
        <v>116.08107000000003</v>
      </c>
      <c r="L1010" s="667" t="s">
        <v>238</v>
      </c>
      <c r="M1010" s="667" t="s">
        <v>379</v>
      </c>
    </row>
    <row r="1011" spans="2:14" hidden="1">
      <c r="B1011" s="1011"/>
      <c r="C1011" s="1245" t="s">
        <v>409</v>
      </c>
      <c r="D1011" s="1012"/>
      <c r="E1011" s="1295" t="s">
        <v>190</v>
      </c>
      <c r="F1011" s="1295">
        <v>103.68</v>
      </c>
      <c r="G1011" s="1085" t="s">
        <v>242</v>
      </c>
      <c r="H1011" s="1016">
        <f>ROUND(ข้อมูลแหล่งราคาวัสดุ!J53/1000,2)</f>
        <v>43.64</v>
      </c>
      <c r="I1011" s="1012" t="s">
        <v>238</v>
      </c>
      <c r="J1011" s="1016" t="s">
        <v>190</v>
      </c>
      <c r="K1011" s="978">
        <f t="shared" si="59"/>
        <v>4524.5952000000007</v>
      </c>
      <c r="L1011" s="667" t="s">
        <v>238</v>
      </c>
      <c r="M1011" s="667" t="s">
        <v>446</v>
      </c>
    </row>
    <row r="1012" spans="2:14" hidden="1">
      <c r="B1012" s="1011"/>
      <c r="C1012" s="682" t="s">
        <v>195</v>
      </c>
      <c r="D1012" s="1012"/>
      <c r="E1012" s="1012"/>
      <c r="F1012" s="1012"/>
      <c r="G1012" s="1012"/>
      <c r="H1012" s="1012"/>
      <c r="I1012" s="1012"/>
      <c r="J1012" s="1016" t="s">
        <v>190</v>
      </c>
      <c r="K1012" s="1067">
        <f>SUM(K1000:K1011)</f>
        <v>17452.867170000001</v>
      </c>
      <c r="L1012" s="667" t="s">
        <v>238</v>
      </c>
      <c r="M1012" s="667" t="s">
        <v>1266</v>
      </c>
    </row>
    <row r="1013" spans="2:14" ht="22.5" hidden="1" thickBot="1">
      <c r="B1013" s="1011"/>
      <c r="C1013" s="684" t="s">
        <v>266</v>
      </c>
      <c r="J1013" s="1247" t="s">
        <v>190</v>
      </c>
      <c r="K1013" s="1025">
        <f>ROUNDDOWN(K1012,0)</f>
        <v>17452</v>
      </c>
      <c r="L1013" s="667" t="s">
        <v>1267</v>
      </c>
      <c r="M1013" s="667"/>
      <c r="N1013" s="667" t="s">
        <v>592</v>
      </c>
    </row>
    <row r="1014" spans="2:14" ht="22.5" hidden="1" thickTop="1">
      <c r="B1014" s="1011"/>
      <c r="C1014" s="684"/>
      <c r="D1014" s="837"/>
      <c r="E1014" s="1295"/>
      <c r="F1014" s="1298"/>
      <c r="G1014" s="1085"/>
      <c r="H1014" s="837"/>
      <c r="I1014" s="1012"/>
      <c r="J1014" s="1016"/>
      <c r="K1014" s="1012"/>
      <c r="L1014" s="667"/>
      <c r="M1014" s="667"/>
    </row>
    <row r="1015" spans="2:14" hidden="1">
      <c r="B1015" s="1207"/>
      <c r="C1015" s="1034" t="str">
        <f>ปร.4_2!D27</f>
        <v>1.1.4(2) หล่อคานอัดแรง Plank - Girder สำหรับช่วงความยาว 5.00 - 12.00 ม.(ตัวใน)</v>
      </c>
      <c r="D1015" s="837"/>
      <c r="E1015" s="1012"/>
      <c r="F1015" s="1012"/>
      <c r="G1015" s="1012"/>
      <c r="H1015" s="1012"/>
      <c r="I1015" s="1012"/>
      <c r="J1015" s="1016"/>
      <c r="K1015" s="1012"/>
      <c r="L1015" s="667"/>
      <c r="M1015" s="667"/>
    </row>
    <row r="1016" spans="2:14" hidden="1">
      <c r="B1016" s="976"/>
      <c r="C1016" s="1245" t="s">
        <v>408</v>
      </c>
      <c r="D1016" s="1012"/>
      <c r="E1016" s="1295" t="s">
        <v>190</v>
      </c>
      <c r="F1016" s="1038">
        <v>1.84</v>
      </c>
      <c r="G1016" s="747" t="s">
        <v>251</v>
      </c>
      <c r="H1016" s="1012">
        <f>M1246</f>
        <v>2448</v>
      </c>
      <c r="I1016" s="1012" t="s">
        <v>238</v>
      </c>
      <c r="J1016" s="1016" t="s">
        <v>190</v>
      </c>
      <c r="K1016" s="978">
        <f>F1016*H1016</f>
        <v>4504.3200000000006</v>
      </c>
      <c r="L1016" s="667" t="s">
        <v>238</v>
      </c>
      <c r="M1016" s="667" t="s">
        <v>193</v>
      </c>
    </row>
    <row r="1017" spans="2:14" hidden="1">
      <c r="B1017" s="976"/>
      <c r="C1017" s="1245" t="s">
        <v>449</v>
      </c>
      <c r="D1017" s="1012"/>
      <c r="E1017" s="1295" t="s">
        <v>190</v>
      </c>
      <c r="F1017" s="1038">
        <v>12.83</v>
      </c>
      <c r="G1017" s="1085" t="s">
        <v>255</v>
      </c>
      <c r="H1017" s="1012">
        <f>K1454</f>
        <v>254</v>
      </c>
      <c r="I1017" s="1012" t="s">
        <v>238</v>
      </c>
      <c r="J1017" s="1016" t="s">
        <v>190</v>
      </c>
      <c r="K1017" s="978">
        <f t="shared" ref="K1017:K1027" si="60">F1017*H1017</f>
        <v>3258.82</v>
      </c>
      <c r="L1017" s="667" t="s">
        <v>238</v>
      </c>
      <c r="M1017" s="667" t="s">
        <v>234</v>
      </c>
    </row>
    <row r="1018" spans="2:14" ht="21" hidden="1" customHeight="1">
      <c r="B1018" s="976"/>
      <c r="C1018" s="684" t="s">
        <v>5</v>
      </c>
      <c r="D1018" s="1012"/>
      <c r="E1018" s="1295"/>
      <c r="F1018" s="1295"/>
      <c r="G1018" s="747"/>
      <c r="H1018" s="837"/>
      <c r="I1018" s="1012"/>
      <c r="J1018" s="1016"/>
      <c r="K1018" s="978"/>
      <c r="L1018" s="667"/>
      <c r="M1018" s="667"/>
    </row>
    <row r="1019" spans="2:14" hidden="1">
      <c r="B1019" s="976"/>
      <c r="C1019" s="684" t="s">
        <v>1262</v>
      </c>
      <c r="D1019" s="1012"/>
      <c r="E1019" s="1295" t="s">
        <v>190</v>
      </c>
      <c r="F1019" s="1295">
        <v>0</v>
      </c>
      <c r="G1019" s="1085" t="s">
        <v>242</v>
      </c>
      <c r="H1019" s="1012">
        <f>J1314</f>
        <v>22.41</v>
      </c>
      <c r="I1019" s="1012" t="s">
        <v>238</v>
      </c>
      <c r="J1019" s="1016" t="s">
        <v>190</v>
      </c>
      <c r="K1019" s="978">
        <f>F1019*H1019</f>
        <v>0</v>
      </c>
      <c r="L1019" s="667" t="s">
        <v>238</v>
      </c>
      <c r="M1019" s="667" t="s">
        <v>239</v>
      </c>
    </row>
    <row r="1020" spans="2:14" hidden="1">
      <c r="B1020" s="976"/>
      <c r="C1020" s="684" t="s">
        <v>1263</v>
      </c>
      <c r="D1020" s="1012"/>
      <c r="E1020" s="1295" t="s">
        <v>190</v>
      </c>
      <c r="F1020" s="1295">
        <v>107.71</v>
      </c>
      <c r="G1020" s="1085" t="s">
        <v>242</v>
      </c>
      <c r="H1020" s="1012">
        <f>J1322</f>
        <v>21.43</v>
      </c>
      <c r="I1020" s="1012" t="s">
        <v>238</v>
      </c>
      <c r="J1020" s="1016" t="s">
        <v>190</v>
      </c>
      <c r="K1020" s="978">
        <f t="shared" si="60"/>
        <v>2308.2253000000001</v>
      </c>
      <c r="L1020" s="667" t="s">
        <v>238</v>
      </c>
      <c r="M1020" s="667" t="s">
        <v>244</v>
      </c>
    </row>
    <row r="1021" spans="2:14" hidden="1">
      <c r="B1021" s="976"/>
      <c r="C1021" s="684" t="s">
        <v>893</v>
      </c>
      <c r="D1021" s="1012"/>
      <c r="E1021" s="1295" t="s">
        <v>190</v>
      </c>
      <c r="F1021" s="1295">
        <v>3.12</v>
      </c>
      <c r="G1021" s="1085" t="s">
        <v>242</v>
      </c>
      <c r="H1021" s="1012">
        <f>J1402</f>
        <v>14.96</v>
      </c>
      <c r="I1021" s="1012" t="s">
        <v>238</v>
      </c>
      <c r="J1021" s="1016" t="s">
        <v>190</v>
      </c>
      <c r="K1021" s="978">
        <f t="shared" si="60"/>
        <v>46.675200000000004</v>
      </c>
      <c r="L1021" s="667" t="s">
        <v>238</v>
      </c>
      <c r="M1021" s="667" t="s">
        <v>236</v>
      </c>
    </row>
    <row r="1022" spans="2:14" hidden="1">
      <c r="B1022" s="976"/>
      <c r="C1022" s="684" t="s">
        <v>1174</v>
      </c>
      <c r="D1022" s="1012"/>
      <c r="E1022" s="1295" t="s">
        <v>190</v>
      </c>
      <c r="F1022" s="1295">
        <v>37.49</v>
      </c>
      <c r="G1022" s="1085" t="s">
        <v>242</v>
      </c>
      <c r="H1022" s="1012">
        <f>J1410</f>
        <v>14.76</v>
      </c>
      <c r="I1022" s="1012" t="s">
        <v>238</v>
      </c>
      <c r="J1022" s="1016" t="s">
        <v>190</v>
      </c>
      <c r="K1022" s="978">
        <f>F1022*H1022</f>
        <v>553.35239999999999</v>
      </c>
      <c r="L1022" s="667" t="s">
        <v>238</v>
      </c>
      <c r="M1022" s="667" t="s">
        <v>249</v>
      </c>
    </row>
    <row r="1023" spans="2:14" hidden="1">
      <c r="B1023" s="976"/>
      <c r="C1023" s="684" t="s">
        <v>1175</v>
      </c>
      <c r="D1023" s="1012"/>
      <c r="E1023" s="1295" t="s">
        <v>190</v>
      </c>
      <c r="F1023" s="1295">
        <v>2.71</v>
      </c>
      <c r="G1023" s="1085" t="s">
        <v>242</v>
      </c>
      <c r="H1023" s="1012">
        <f>J1418</f>
        <v>14.76</v>
      </c>
      <c r="I1023" s="1012" t="s">
        <v>238</v>
      </c>
      <c r="J1023" s="1016" t="s">
        <v>190</v>
      </c>
      <c r="K1023" s="978">
        <f>F1023*H1023</f>
        <v>39.999600000000001</v>
      </c>
      <c r="L1023" s="667" t="s">
        <v>238</v>
      </c>
      <c r="M1023" s="667" t="s">
        <v>246</v>
      </c>
    </row>
    <row r="1024" spans="2:14" hidden="1">
      <c r="B1024" s="976"/>
      <c r="C1024" s="684" t="s">
        <v>1176</v>
      </c>
      <c r="D1024" s="1012"/>
      <c r="E1024" s="1295" t="s">
        <v>190</v>
      </c>
      <c r="F1024" s="1295">
        <v>6.36</v>
      </c>
      <c r="G1024" s="1085" t="s">
        <v>242</v>
      </c>
      <c r="H1024" s="1012">
        <f>J1426</f>
        <v>14.76</v>
      </c>
      <c r="I1024" s="1012" t="s">
        <v>238</v>
      </c>
      <c r="J1024" s="1016" t="s">
        <v>190</v>
      </c>
      <c r="K1024" s="978">
        <f>F1024*H1024</f>
        <v>93.87360000000001</v>
      </c>
      <c r="L1024" s="667" t="s">
        <v>238</v>
      </c>
      <c r="M1024" s="667" t="s">
        <v>247</v>
      </c>
    </row>
    <row r="1025" spans="2:20" hidden="1">
      <c r="B1025" s="976"/>
      <c r="C1025" s="1172" t="s">
        <v>8</v>
      </c>
      <c r="D1025" s="1175"/>
      <c r="E1025" s="1295" t="s">
        <v>190</v>
      </c>
      <c r="F1025" s="1295">
        <f>SUM(F1019:F1024)</f>
        <v>157.39000000000001</v>
      </c>
      <c r="G1025" s="1085" t="s">
        <v>242</v>
      </c>
      <c r="H1025" s="1097">
        <f>ROUNDDOWN(IF(F1025=0,0,IF(F1025/1000&gt;100,2900/1000,3300/1000)),2)</f>
        <v>3.3</v>
      </c>
      <c r="I1025" s="1012" t="s">
        <v>238</v>
      </c>
      <c r="J1025" s="1016" t="s">
        <v>190</v>
      </c>
      <c r="K1025" s="978">
        <f t="shared" si="60"/>
        <v>519.38700000000006</v>
      </c>
      <c r="L1025" s="667" t="s">
        <v>238</v>
      </c>
      <c r="M1025" s="667" t="s">
        <v>1268</v>
      </c>
    </row>
    <row r="1026" spans="2:20" hidden="1">
      <c r="B1026" s="976"/>
      <c r="C1026" s="1172" t="s">
        <v>384</v>
      </c>
      <c r="D1026" s="1012"/>
      <c r="E1026" s="1295" t="s">
        <v>190</v>
      </c>
      <c r="F1026" s="1295">
        <f>F1025*0.025</f>
        <v>3.9347500000000006</v>
      </c>
      <c r="G1026" s="1085" t="s">
        <v>242</v>
      </c>
      <c r="H1026" s="1012">
        <f>ข้อมูลแหล่งราคาวัสดุ!D54</f>
        <v>19.739999999999998</v>
      </c>
      <c r="I1026" s="1012" t="s">
        <v>238</v>
      </c>
      <c r="J1026" s="1016" t="s">
        <v>190</v>
      </c>
      <c r="K1026" s="978">
        <f t="shared" si="60"/>
        <v>77.671965</v>
      </c>
      <c r="L1026" s="667" t="s">
        <v>238</v>
      </c>
      <c r="M1026" s="667" t="s">
        <v>379</v>
      </c>
    </row>
    <row r="1027" spans="2:20" hidden="1">
      <c r="B1027" s="976"/>
      <c r="C1027" s="1245" t="s">
        <v>409</v>
      </c>
      <c r="D1027" s="1012"/>
      <c r="E1027" s="1295" t="s">
        <v>190</v>
      </c>
      <c r="F1027" s="1295">
        <v>114.05</v>
      </c>
      <c r="G1027" s="1085" t="s">
        <v>242</v>
      </c>
      <c r="H1027" s="1016">
        <f>ROUND(ข้อมูลแหล่งราคาวัสดุ!J53/1000,2)</f>
        <v>43.64</v>
      </c>
      <c r="I1027" s="1012" t="s">
        <v>238</v>
      </c>
      <c r="J1027" s="1016" t="s">
        <v>190</v>
      </c>
      <c r="K1027" s="978">
        <f t="shared" si="60"/>
        <v>4977.1419999999998</v>
      </c>
      <c r="L1027" s="667" t="s">
        <v>238</v>
      </c>
      <c r="M1027" s="667" t="s">
        <v>446</v>
      </c>
    </row>
    <row r="1028" spans="2:20" hidden="1">
      <c r="B1028" s="976"/>
      <c r="C1028" s="682" t="s">
        <v>195</v>
      </c>
      <c r="D1028" s="1012"/>
      <c r="E1028" s="1012"/>
      <c r="F1028" s="1012"/>
      <c r="G1028" s="1012"/>
      <c r="H1028" s="1012"/>
      <c r="I1028" s="1012"/>
      <c r="J1028" s="1016" t="s">
        <v>190</v>
      </c>
      <c r="K1028" s="1067">
        <f>SUM(K1016:K1027)</f>
        <v>16379.467065000001</v>
      </c>
      <c r="L1028" s="667" t="s">
        <v>238</v>
      </c>
      <c r="M1028" s="667" t="s">
        <v>1266</v>
      </c>
    </row>
    <row r="1029" spans="2:20" ht="22.5" hidden="1" thickBot="1">
      <c r="B1029" s="976"/>
      <c r="C1029" s="684" t="s">
        <v>266</v>
      </c>
      <c r="J1029" s="1247" t="s">
        <v>190</v>
      </c>
      <c r="K1029" s="1025">
        <f>ROUNDDOWN(K1028,0)</f>
        <v>16379</v>
      </c>
      <c r="L1029" s="667" t="s">
        <v>1267</v>
      </c>
      <c r="M1029" s="667"/>
      <c r="N1029" s="667" t="s">
        <v>592</v>
      </c>
    </row>
    <row r="1030" spans="2:20" ht="22.5" hidden="1" thickTop="1">
      <c r="B1030" s="976"/>
      <c r="C1030" s="1172"/>
      <c r="G1030" s="1085"/>
      <c r="I1030" s="1012"/>
      <c r="J1030" s="1247"/>
      <c r="L1030" s="1012"/>
      <c r="M1030" s="667"/>
    </row>
    <row r="1031" spans="2:20" hidden="1">
      <c r="B1031" s="1234"/>
      <c r="C1031" s="1034" t="str">
        <f>ปร.4_2!D35</f>
        <v>1.1.4(10) งานคอนกรีต Topping</v>
      </c>
      <c r="J1031" s="1016"/>
      <c r="L1031" s="667"/>
      <c r="M1031" s="667"/>
    </row>
    <row r="1032" spans="2:20" hidden="1">
      <c r="B1032" s="1011"/>
      <c r="C1032" s="682" t="s">
        <v>410</v>
      </c>
      <c r="D1032" s="997"/>
      <c r="F1032" s="997">
        <v>240</v>
      </c>
      <c r="G1032" s="1000" t="s">
        <v>7</v>
      </c>
      <c r="I1032" s="1012"/>
      <c r="J1032" s="1016"/>
      <c r="L1032" s="667"/>
      <c r="M1032" s="667" t="s">
        <v>193</v>
      </c>
    </row>
    <row r="1033" spans="2:20" hidden="1">
      <c r="B1033" s="1011"/>
      <c r="C1033" s="1245" t="s">
        <v>393</v>
      </c>
      <c r="D1033" s="997"/>
      <c r="E1033" s="1295" t="s">
        <v>190</v>
      </c>
      <c r="F1033" s="997">
        <v>24</v>
      </c>
      <c r="G1033" s="747" t="s">
        <v>251</v>
      </c>
      <c r="H1033" s="997">
        <f>M1236</f>
        <v>2026</v>
      </c>
      <c r="I1033" s="1012" t="s">
        <v>238</v>
      </c>
      <c r="J1033" s="1016" t="s">
        <v>190</v>
      </c>
      <c r="K1033" s="997">
        <f>F1033*H1033</f>
        <v>48624</v>
      </c>
      <c r="L1033" s="667" t="s">
        <v>238</v>
      </c>
      <c r="M1033" s="667" t="s">
        <v>234</v>
      </c>
      <c r="R1033" s="978"/>
      <c r="T1033" s="978"/>
    </row>
    <row r="1034" spans="2:20" hidden="1">
      <c r="B1034" s="1011"/>
      <c r="C1034" s="1245" t="s">
        <v>451</v>
      </c>
      <c r="D1034" s="997"/>
      <c r="E1034" s="1295" t="s">
        <v>190</v>
      </c>
      <c r="F1034" s="997">
        <v>9.6</v>
      </c>
      <c r="G1034" s="1085" t="s">
        <v>255</v>
      </c>
      <c r="H1034" s="997">
        <f>K1471</f>
        <v>227</v>
      </c>
      <c r="I1034" s="1012" t="s">
        <v>238</v>
      </c>
      <c r="J1034" s="1016" t="s">
        <v>190</v>
      </c>
      <c r="K1034" s="997">
        <f>F1034*H1034</f>
        <v>2179.1999999999998</v>
      </c>
      <c r="L1034" s="667" t="s">
        <v>238</v>
      </c>
      <c r="M1034" s="667" t="s">
        <v>450</v>
      </c>
      <c r="R1034" s="978"/>
      <c r="T1034" s="978"/>
    </row>
    <row r="1035" spans="2:20" hidden="1">
      <c r="B1035" s="1011"/>
      <c r="C1035" s="684" t="s">
        <v>5</v>
      </c>
      <c r="D1035" s="997"/>
      <c r="E1035" s="1295"/>
      <c r="I1035" s="1012"/>
      <c r="J1035" s="1016"/>
      <c r="L1035" s="667"/>
      <c r="R1035" s="978"/>
      <c r="T1035" s="978"/>
    </row>
    <row r="1036" spans="2:20" hidden="1">
      <c r="B1036" s="1011"/>
      <c r="C1036" s="684" t="s">
        <v>1263</v>
      </c>
      <c r="D1036" s="997"/>
      <c r="E1036" s="1295" t="s">
        <v>190</v>
      </c>
      <c r="F1036" s="997">
        <v>1157.46</v>
      </c>
      <c r="G1036" s="1085" t="s">
        <v>242</v>
      </c>
      <c r="H1036" s="997">
        <f>J1322</f>
        <v>21.43</v>
      </c>
      <c r="I1036" s="1012" t="s">
        <v>238</v>
      </c>
      <c r="J1036" s="1016" t="s">
        <v>190</v>
      </c>
      <c r="K1036" s="997">
        <f>F1036*H1036</f>
        <v>24804.3678</v>
      </c>
      <c r="L1036" s="667" t="s">
        <v>238</v>
      </c>
      <c r="M1036" s="667" t="s">
        <v>244</v>
      </c>
      <c r="R1036" s="978"/>
      <c r="T1036" s="978"/>
    </row>
    <row r="1037" spans="2:20" hidden="1">
      <c r="B1037" s="1011"/>
      <c r="C1037" s="684" t="s">
        <v>1208</v>
      </c>
      <c r="E1037" s="1295" t="s">
        <v>190</v>
      </c>
      <c r="F1037" s="997">
        <v>373.02</v>
      </c>
      <c r="G1037" s="1085" t="s">
        <v>242</v>
      </c>
      <c r="H1037" s="997">
        <v>26.5</v>
      </c>
      <c r="I1037" s="1012" t="s">
        <v>238</v>
      </c>
      <c r="J1037" s="1247" t="s">
        <v>190</v>
      </c>
      <c r="K1037" s="997">
        <f>F1037*H1037</f>
        <v>9885.0299999999988</v>
      </c>
      <c r="L1037" s="667" t="s">
        <v>238</v>
      </c>
      <c r="M1037" s="667" t="s">
        <v>1269</v>
      </c>
      <c r="R1037" s="978"/>
      <c r="T1037" s="978"/>
    </row>
    <row r="1038" spans="2:20" hidden="1">
      <c r="B1038" s="1011"/>
      <c r="C1038" s="1172" t="s">
        <v>8</v>
      </c>
      <c r="D1038" s="997"/>
      <c r="E1038" s="1295" t="s">
        <v>190</v>
      </c>
      <c r="F1038" s="997">
        <f>SUM(F1036:F1037)</f>
        <v>1530.48</v>
      </c>
      <c r="G1038" s="1085" t="s">
        <v>242</v>
      </c>
      <c r="H1038" s="1097">
        <f>ROUNDDOWN(IF(F1038=0,0,IF(F1038/1000&gt;100,2900/1000,3300/1000)),2)</f>
        <v>3.3</v>
      </c>
      <c r="I1038" s="1012" t="s">
        <v>238</v>
      </c>
      <c r="J1038" s="1016" t="s">
        <v>190</v>
      </c>
      <c r="K1038" s="997">
        <f>F1038*H1038</f>
        <v>5050.5839999999998</v>
      </c>
      <c r="L1038" s="667" t="s">
        <v>238</v>
      </c>
      <c r="M1038" s="667" t="s">
        <v>1270</v>
      </c>
      <c r="R1038" s="978"/>
      <c r="T1038" s="978"/>
    </row>
    <row r="1039" spans="2:20" hidden="1">
      <c r="B1039" s="1011"/>
      <c r="C1039" s="1172" t="s">
        <v>384</v>
      </c>
      <c r="D1039" s="997"/>
      <c r="E1039" s="1295" t="s">
        <v>190</v>
      </c>
      <c r="F1039" s="997">
        <f>F1038*0.025</f>
        <v>38.262</v>
      </c>
      <c r="G1039" s="1085" t="s">
        <v>242</v>
      </c>
      <c r="H1039" s="997">
        <f>ข้อมูลแหล่งราคาวัสดุ!D54</f>
        <v>19.739999999999998</v>
      </c>
      <c r="I1039" s="1012" t="s">
        <v>238</v>
      </c>
      <c r="J1039" s="1016" t="s">
        <v>190</v>
      </c>
      <c r="K1039" s="997">
        <f>F1039*H1039</f>
        <v>755.29187999999999</v>
      </c>
      <c r="L1039" s="667" t="s">
        <v>238</v>
      </c>
      <c r="M1039" s="667" t="s">
        <v>246</v>
      </c>
      <c r="R1039" s="978"/>
      <c r="T1039" s="978"/>
    </row>
    <row r="1040" spans="2:20" hidden="1">
      <c r="B1040" s="1011"/>
      <c r="C1040" s="682" t="s">
        <v>195</v>
      </c>
      <c r="D1040" s="997"/>
      <c r="J1040" s="1016" t="s">
        <v>190</v>
      </c>
      <c r="K1040" s="997">
        <f>SUM(K1033:K1039)</f>
        <v>91298.473679999996</v>
      </c>
      <c r="L1040" s="667" t="s">
        <v>238</v>
      </c>
      <c r="M1040" s="667" t="s">
        <v>594</v>
      </c>
    </row>
    <row r="1041" spans="2:14" hidden="1">
      <c r="B1041" s="1011"/>
      <c r="C1041" s="682" t="s">
        <v>400</v>
      </c>
      <c r="D1041" s="997"/>
      <c r="J1041" s="1016" t="s">
        <v>190</v>
      </c>
      <c r="K1041" s="1067">
        <f>K1040/F1032</f>
        <v>380.41030699999999</v>
      </c>
      <c r="L1041" s="667" t="s">
        <v>191</v>
      </c>
      <c r="N1041" s="667" t="s">
        <v>1271</v>
      </c>
    </row>
    <row r="1042" spans="2:14" ht="22.5" hidden="1" thickBot="1">
      <c r="B1042" s="1011"/>
      <c r="C1042" s="684" t="s">
        <v>266</v>
      </c>
      <c r="J1042" s="1247" t="s">
        <v>190</v>
      </c>
      <c r="K1042" s="1025">
        <f>ROUNDDOWN(K1041,0)</f>
        <v>380</v>
      </c>
      <c r="L1042" s="667" t="s">
        <v>191</v>
      </c>
      <c r="M1042" s="667"/>
      <c r="N1042" s="667" t="s">
        <v>196</v>
      </c>
    </row>
    <row r="1043" spans="2:14" ht="22.5" hidden="1" thickTop="1">
      <c r="B1043" s="1011"/>
      <c r="C1043" s="682"/>
      <c r="E1043" s="1295"/>
      <c r="J1043" s="1016"/>
      <c r="L1043" s="667"/>
      <c r="M1043" s="667"/>
    </row>
    <row r="1044" spans="2:14" hidden="1">
      <c r="B1044" s="1234" t="str">
        <f>ปร.4_2!C36</f>
        <v>1.1.5</v>
      </c>
      <c r="C1044" s="1002" t="str">
        <f>ปร.4_2!D36</f>
        <v>งานทางเท้า   ราวสะพาน  และงาน เบ็ดเตล็ด  อื่น ๆ</v>
      </c>
      <c r="J1044" s="1016"/>
      <c r="L1044" s="667"/>
      <c r="M1044" s="667"/>
    </row>
    <row r="1045" spans="2:14" hidden="1">
      <c r="B1045" s="1234"/>
      <c r="C1045" s="1009" t="str">
        <f>ปร.4_2!D37</f>
        <v>1.1.5(1) งานราวสะพาน คสล.</v>
      </c>
      <c r="D1045" s="837"/>
      <c r="E1045" s="1012"/>
      <c r="F1045" s="1012"/>
      <c r="G1045" s="1012"/>
      <c r="H1045" s="1012"/>
      <c r="I1045" s="1012"/>
      <c r="J1045" s="1012"/>
      <c r="K1045" s="1012"/>
      <c r="L1045" s="667"/>
      <c r="M1045" s="667"/>
    </row>
    <row r="1046" spans="2:14" hidden="1">
      <c r="B1046" s="1011"/>
      <c r="C1046" s="684" t="s">
        <v>410</v>
      </c>
      <c r="D1046" s="837"/>
      <c r="E1046" s="1295"/>
      <c r="F1046" s="1295">
        <v>24</v>
      </c>
      <c r="G1046" s="1000" t="s">
        <v>17</v>
      </c>
      <c r="H1046" s="747"/>
      <c r="I1046" s="1012"/>
      <c r="J1046" s="1012"/>
      <c r="K1046" s="1012"/>
      <c r="L1046" s="667"/>
      <c r="M1046" s="667" t="s">
        <v>193</v>
      </c>
    </row>
    <row r="1047" spans="2:14" hidden="1">
      <c r="B1047" s="1011"/>
      <c r="C1047" s="1148" t="s">
        <v>402</v>
      </c>
      <c r="D1047" s="837"/>
      <c r="E1047" s="1295" t="s">
        <v>190</v>
      </c>
      <c r="F1047" s="1295">
        <v>4.68</v>
      </c>
      <c r="G1047" s="747" t="s">
        <v>251</v>
      </c>
      <c r="H1047" s="837">
        <f>M1226</f>
        <v>2326</v>
      </c>
      <c r="I1047" s="1012" t="s">
        <v>238</v>
      </c>
      <c r="J1047" s="1016" t="s">
        <v>190</v>
      </c>
      <c r="K1047" s="1012">
        <f>F1047*H1047</f>
        <v>10885.679999999998</v>
      </c>
      <c r="L1047" s="667" t="s">
        <v>238</v>
      </c>
      <c r="M1047" s="667" t="s">
        <v>234</v>
      </c>
    </row>
    <row r="1048" spans="2:14" hidden="1">
      <c r="B1048" s="1011"/>
      <c r="C1048" s="1148" t="s">
        <v>403</v>
      </c>
      <c r="D1048" s="837"/>
      <c r="E1048" s="1295" t="s">
        <v>190</v>
      </c>
      <c r="F1048" s="1295">
        <v>114.37</v>
      </c>
      <c r="G1048" s="1085" t="s">
        <v>255</v>
      </c>
      <c r="H1048" s="837">
        <f>K1484</f>
        <v>336</v>
      </c>
      <c r="I1048" s="1012" t="s">
        <v>238</v>
      </c>
      <c r="J1048" s="1016" t="s">
        <v>190</v>
      </c>
      <c r="K1048" s="1012">
        <f t="shared" ref="K1048:K1056" si="61">F1048*H1048</f>
        <v>38428.32</v>
      </c>
      <c r="L1048" s="667" t="s">
        <v>238</v>
      </c>
      <c r="M1048" s="667" t="s">
        <v>239</v>
      </c>
    </row>
    <row r="1049" spans="2:14" hidden="1">
      <c r="B1049" s="1011"/>
      <c r="C1049" s="1148" t="s">
        <v>5</v>
      </c>
      <c r="D1049" s="837"/>
      <c r="E1049" s="1012"/>
      <c r="F1049" s="1012"/>
      <c r="G1049" s="1012"/>
      <c r="H1049" s="1012"/>
      <c r="I1049" s="1012"/>
      <c r="J1049" s="1016"/>
      <c r="K1049" s="1012"/>
      <c r="L1049" s="667"/>
      <c r="M1049" s="667"/>
    </row>
    <row r="1050" spans="2:14" hidden="1">
      <c r="B1050" s="1011"/>
      <c r="C1050" s="684" t="s">
        <v>256</v>
      </c>
      <c r="D1050" s="837"/>
      <c r="E1050" s="1295" t="s">
        <v>190</v>
      </c>
      <c r="F1050" s="1295">
        <v>142.88</v>
      </c>
      <c r="G1050" s="1085" t="s">
        <v>242</v>
      </c>
      <c r="H1050" s="1012">
        <f>J1322</f>
        <v>21.43</v>
      </c>
      <c r="I1050" s="1012" t="s">
        <v>238</v>
      </c>
      <c r="J1050" s="1016" t="s">
        <v>190</v>
      </c>
      <c r="K1050" s="1012">
        <f t="shared" si="61"/>
        <v>3061.9184</v>
      </c>
      <c r="L1050" s="667" t="s">
        <v>238</v>
      </c>
      <c r="M1050" s="667" t="s">
        <v>244</v>
      </c>
    </row>
    <row r="1051" spans="2:14" hidden="1">
      <c r="B1051" s="1011"/>
      <c r="C1051" s="684" t="s">
        <v>391</v>
      </c>
      <c r="D1051" s="837"/>
      <c r="E1051" s="1295" t="s">
        <v>190</v>
      </c>
      <c r="F1051" s="1295">
        <v>298.75</v>
      </c>
      <c r="G1051" s="1085" t="s">
        <v>242</v>
      </c>
      <c r="H1051" s="1012">
        <f>J1402</f>
        <v>14.96</v>
      </c>
      <c r="I1051" s="1012" t="s">
        <v>238</v>
      </c>
      <c r="J1051" s="1016" t="s">
        <v>190</v>
      </c>
      <c r="K1051" s="1012">
        <f t="shared" si="61"/>
        <v>4469.3</v>
      </c>
      <c r="L1051" s="667" t="s">
        <v>238</v>
      </c>
      <c r="M1051" s="667" t="s">
        <v>236</v>
      </c>
    </row>
    <row r="1052" spans="2:14" hidden="1">
      <c r="B1052" s="1011"/>
      <c r="C1052" s="684" t="s">
        <v>406</v>
      </c>
      <c r="D1052" s="837"/>
      <c r="E1052" s="1295" t="s">
        <v>190</v>
      </c>
      <c r="F1052" s="1295">
        <v>261.85000000000002</v>
      </c>
      <c r="G1052" s="1085" t="s">
        <v>242</v>
      </c>
      <c r="H1052" s="1012">
        <f>J1410</f>
        <v>14.76</v>
      </c>
      <c r="I1052" s="1012" t="s">
        <v>238</v>
      </c>
      <c r="J1052" s="1016" t="s">
        <v>190</v>
      </c>
      <c r="K1052" s="1012">
        <f t="shared" si="61"/>
        <v>3864.9060000000004</v>
      </c>
      <c r="L1052" s="667" t="s">
        <v>238</v>
      </c>
      <c r="M1052" s="667" t="s">
        <v>249</v>
      </c>
    </row>
    <row r="1053" spans="2:14" hidden="1">
      <c r="B1053" s="1011"/>
      <c r="C1053" s="684" t="s">
        <v>411</v>
      </c>
      <c r="D1053" s="837"/>
      <c r="E1053" s="1295" t="s">
        <v>190</v>
      </c>
      <c r="F1053" s="1295">
        <v>260.43</v>
      </c>
      <c r="G1053" s="1085" t="s">
        <v>242</v>
      </c>
      <c r="H1053" s="1012">
        <f>J1418</f>
        <v>14.76</v>
      </c>
      <c r="I1053" s="1012" t="s">
        <v>238</v>
      </c>
      <c r="J1053" s="1016" t="s">
        <v>190</v>
      </c>
      <c r="K1053" s="1012">
        <f>F1053*H1053</f>
        <v>3843.9468000000002</v>
      </c>
      <c r="L1053" s="667" t="s">
        <v>238</v>
      </c>
      <c r="M1053" s="667" t="s">
        <v>194</v>
      </c>
    </row>
    <row r="1054" spans="2:14" hidden="1">
      <c r="B1054" s="1011"/>
      <c r="C1054" s="684" t="s">
        <v>392</v>
      </c>
      <c r="D1054" s="837"/>
      <c r="E1054" s="1295" t="s">
        <v>190</v>
      </c>
      <c r="F1054" s="1295">
        <v>66.12</v>
      </c>
      <c r="G1054" s="1085" t="s">
        <v>242</v>
      </c>
      <c r="H1054" s="1012">
        <f>J1426</f>
        <v>14.76</v>
      </c>
      <c r="I1054" s="1012" t="s">
        <v>238</v>
      </c>
      <c r="J1054" s="1016" t="s">
        <v>190</v>
      </c>
      <c r="K1054" s="1012">
        <f>F1054*H1054</f>
        <v>975.9312000000001</v>
      </c>
      <c r="L1054" s="667" t="s">
        <v>238</v>
      </c>
      <c r="M1054" s="667" t="s">
        <v>1272</v>
      </c>
    </row>
    <row r="1055" spans="2:14" hidden="1">
      <c r="B1055" s="1011"/>
      <c r="C1055" s="1172" t="s">
        <v>8</v>
      </c>
      <c r="D1055" s="1271"/>
      <c r="E1055" s="1295" t="s">
        <v>190</v>
      </c>
      <c r="F1055" s="1295">
        <f>SUM(F1050:F1054)</f>
        <v>1030.0300000000002</v>
      </c>
      <c r="G1055" s="1085" t="s">
        <v>242</v>
      </c>
      <c r="H1055" s="1097">
        <f>ROUNDDOWN(IF(F1055=0,0,IF(F1055/1000&gt;100,2900/1000,3300/1000)),2)</f>
        <v>3.3</v>
      </c>
      <c r="I1055" s="1012" t="s">
        <v>238</v>
      </c>
      <c r="J1055" s="1016" t="s">
        <v>190</v>
      </c>
      <c r="K1055" s="1012">
        <f t="shared" si="61"/>
        <v>3399.0990000000006</v>
      </c>
      <c r="L1055" s="667" t="s">
        <v>238</v>
      </c>
      <c r="M1055" s="667" t="s">
        <v>1268</v>
      </c>
    </row>
    <row r="1056" spans="2:14" hidden="1">
      <c r="B1056" s="1011"/>
      <c r="C1056" s="1172" t="s">
        <v>384</v>
      </c>
      <c r="D1056" s="837"/>
      <c r="E1056" s="1295" t="s">
        <v>190</v>
      </c>
      <c r="F1056" s="1295">
        <f>F1055*0.025</f>
        <v>25.750750000000007</v>
      </c>
      <c r="G1056" s="1085" t="s">
        <v>242</v>
      </c>
      <c r="H1056" s="1012">
        <f>ข้อมูลแหล่งราคาวัสดุ!D54</f>
        <v>19.739999999999998</v>
      </c>
      <c r="I1056" s="1012" t="s">
        <v>238</v>
      </c>
      <c r="J1056" s="1016" t="s">
        <v>190</v>
      </c>
      <c r="K1056" s="1012">
        <f t="shared" si="61"/>
        <v>508.31980500000009</v>
      </c>
      <c r="L1056" s="667" t="s">
        <v>238</v>
      </c>
      <c r="M1056" s="667" t="s">
        <v>379</v>
      </c>
    </row>
    <row r="1057" spans="2:16" hidden="1">
      <c r="B1057" s="1011"/>
      <c r="C1057" s="682" t="s">
        <v>195</v>
      </c>
      <c r="D1057" s="681"/>
      <c r="E1057" s="1011"/>
      <c r="F1057" s="1012"/>
      <c r="G1057" s="1011"/>
      <c r="H1057" s="1011"/>
      <c r="I1057" s="1012"/>
      <c r="J1057" s="1016" t="s">
        <v>190</v>
      </c>
      <c r="K1057" s="1012">
        <f>SUM(K1047:K1056)</f>
        <v>69437.421205000006</v>
      </c>
      <c r="L1057" s="667" t="s">
        <v>238</v>
      </c>
      <c r="M1057" s="667" t="s">
        <v>1273</v>
      </c>
    </row>
    <row r="1058" spans="2:16" hidden="1">
      <c r="B1058" s="1011"/>
      <c r="C1058" s="682" t="s">
        <v>400</v>
      </c>
      <c r="D1058" s="997"/>
      <c r="J1058" s="1016" t="s">
        <v>190</v>
      </c>
      <c r="K1058" s="1067">
        <f>K1057/F1046</f>
        <v>2893.2258835416669</v>
      </c>
      <c r="L1058" s="667" t="s">
        <v>252</v>
      </c>
      <c r="N1058" s="667" t="s">
        <v>1274</v>
      </c>
    </row>
    <row r="1059" spans="2:16" ht="22.5" hidden="1" thickBot="1">
      <c r="B1059" s="1011"/>
      <c r="C1059" s="684" t="s">
        <v>266</v>
      </c>
      <c r="J1059" s="1247" t="s">
        <v>190</v>
      </c>
      <c r="K1059" s="1025">
        <f>ROUNDDOWN(K1058,0)</f>
        <v>2893</v>
      </c>
      <c r="L1059" s="667" t="s">
        <v>252</v>
      </c>
      <c r="N1059" s="667" t="s">
        <v>592</v>
      </c>
    </row>
    <row r="1060" spans="2:16" ht="22.5" hidden="1" thickTop="1">
      <c r="B1060" s="1011"/>
      <c r="C1060" s="1011"/>
      <c r="D1060" s="837"/>
      <c r="E1060" s="1011"/>
      <c r="F1060" s="1011"/>
      <c r="G1060" s="1275"/>
      <c r="H1060" s="1011"/>
      <c r="I1060" s="1012"/>
      <c r="J1060" s="1016"/>
      <c r="K1060" s="1011"/>
      <c r="L1060" s="667"/>
      <c r="M1060" s="667"/>
    </row>
    <row r="1061" spans="2:16" hidden="1">
      <c r="B1061" s="1234"/>
      <c r="C1061" s="1023" t="str">
        <f>ปร.4_2!D38</f>
        <v>1.1.5(2) งานทางเท้า คสล.</v>
      </c>
      <c r="D1061" s="837"/>
      <c r="E1061" s="1011"/>
      <c r="F1061" s="1011"/>
      <c r="G1061" s="1275"/>
      <c r="H1061" s="1011"/>
      <c r="I1061" s="1012"/>
      <c r="J1061" s="1016"/>
      <c r="K1061" s="1011"/>
      <c r="L1061" s="667"/>
      <c r="M1061" s="667"/>
    </row>
    <row r="1062" spans="2:16" hidden="1">
      <c r="B1062" s="1011"/>
      <c r="C1062" s="682" t="s">
        <v>410</v>
      </c>
      <c r="F1062" s="997">
        <v>10</v>
      </c>
      <c r="G1062" s="1000" t="s">
        <v>17</v>
      </c>
      <c r="J1062" s="1016"/>
      <c r="L1062" s="667"/>
      <c r="M1062" s="667" t="s">
        <v>193</v>
      </c>
      <c r="N1062" s="667"/>
    </row>
    <row r="1063" spans="2:16" hidden="1">
      <c r="B1063" s="1011"/>
      <c r="C1063" s="1245" t="s">
        <v>393</v>
      </c>
      <c r="E1063" s="1295" t="s">
        <v>190</v>
      </c>
      <c r="F1063" s="997">
        <v>2.4000000000000004</v>
      </c>
      <c r="G1063" s="747" t="s">
        <v>251</v>
      </c>
      <c r="H1063" s="997">
        <f>M1226</f>
        <v>2326</v>
      </c>
      <c r="I1063" s="1012" t="s">
        <v>238</v>
      </c>
      <c r="J1063" s="1016" t="s">
        <v>190</v>
      </c>
      <c r="K1063" s="997">
        <f>F1063*H1063</f>
        <v>5582.4000000000005</v>
      </c>
      <c r="L1063" s="1012" t="s">
        <v>238</v>
      </c>
      <c r="M1063" s="667" t="s">
        <v>234</v>
      </c>
      <c r="N1063" s="667"/>
    </row>
    <row r="1064" spans="2:16" hidden="1">
      <c r="B1064" s="1011"/>
      <c r="C1064" s="1245" t="s">
        <v>602</v>
      </c>
      <c r="E1064" s="1295" t="s">
        <v>190</v>
      </c>
      <c r="F1064" s="997">
        <v>4.4800000000000004</v>
      </c>
      <c r="G1064" s="1085" t="s">
        <v>255</v>
      </c>
      <c r="H1064" s="997">
        <f>K1484</f>
        <v>336</v>
      </c>
      <c r="I1064" s="1012" t="s">
        <v>238</v>
      </c>
      <c r="J1064" s="1016" t="s">
        <v>190</v>
      </c>
      <c r="K1064" s="997">
        <f t="shared" ref="K1064:K1070" si="62">F1064*H1064</f>
        <v>1505.2800000000002</v>
      </c>
      <c r="L1064" s="1012" t="s">
        <v>238</v>
      </c>
      <c r="M1064" s="667" t="s">
        <v>239</v>
      </c>
      <c r="N1064" s="667"/>
    </row>
    <row r="1065" spans="2:16" hidden="1">
      <c r="B1065" s="1011"/>
      <c r="C1065" s="684" t="s">
        <v>5</v>
      </c>
      <c r="J1065" s="1016"/>
      <c r="L1065" s="1012"/>
      <c r="N1065" s="667"/>
    </row>
    <row r="1066" spans="2:16" hidden="1">
      <c r="B1066" s="1011"/>
      <c r="C1066" s="684" t="s">
        <v>391</v>
      </c>
      <c r="E1066" s="1295" t="s">
        <v>190</v>
      </c>
      <c r="F1066" s="997">
        <v>147.97999999999999</v>
      </c>
      <c r="G1066" s="1085" t="s">
        <v>242</v>
      </c>
      <c r="H1066" s="997">
        <f>J1402</f>
        <v>14.96</v>
      </c>
      <c r="I1066" s="1012" t="s">
        <v>238</v>
      </c>
      <c r="J1066" s="1016" t="s">
        <v>190</v>
      </c>
      <c r="K1066" s="997">
        <f t="shared" si="62"/>
        <v>2213.7808</v>
      </c>
      <c r="L1066" s="1012" t="s">
        <v>238</v>
      </c>
      <c r="M1066" s="667" t="s">
        <v>244</v>
      </c>
      <c r="N1066" s="667"/>
    </row>
    <row r="1067" spans="2:16" hidden="1">
      <c r="B1067" s="1011"/>
      <c r="C1067" s="684" t="s">
        <v>411</v>
      </c>
      <c r="E1067" s="1295" t="s">
        <v>190</v>
      </c>
      <c r="F1067" s="997">
        <v>78.25</v>
      </c>
      <c r="G1067" s="1085" t="s">
        <v>242</v>
      </c>
      <c r="H1067" s="997">
        <f>J1418</f>
        <v>14.76</v>
      </c>
      <c r="I1067" s="1012" t="s">
        <v>238</v>
      </c>
      <c r="J1067" s="1016" t="s">
        <v>190</v>
      </c>
      <c r="K1067" s="997">
        <f t="shared" si="62"/>
        <v>1154.97</v>
      </c>
      <c r="L1067" s="1012" t="s">
        <v>238</v>
      </c>
      <c r="M1067" s="667" t="s">
        <v>236</v>
      </c>
      <c r="N1067" s="667"/>
    </row>
    <row r="1068" spans="2:16" hidden="1">
      <c r="B1068" s="1011"/>
      <c r="C1068" s="1172" t="s">
        <v>8</v>
      </c>
      <c r="E1068" s="1295" t="s">
        <v>190</v>
      </c>
      <c r="F1068" s="997">
        <f>SUM(F1066:F1067)</f>
        <v>226.23</v>
      </c>
      <c r="G1068" s="1085" t="s">
        <v>242</v>
      </c>
      <c r="H1068" s="1097">
        <f>ROUNDDOWN(IF(F1068=0,0,IF(F1068/1000&gt;100,2900/1000,3300/1000)),2)</f>
        <v>3.3</v>
      </c>
      <c r="I1068" s="1012" t="s">
        <v>238</v>
      </c>
      <c r="J1068" s="1016" t="s">
        <v>190</v>
      </c>
      <c r="K1068" s="997">
        <f t="shared" si="62"/>
        <v>746.55899999999997</v>
      </c>
      <c r="L1068" s="1012" t="s">
        <v>238</v>
      </c>
      <c r="M1068" s="667" t="s">
        <v>283</v>
      </c>
      <c r="N1068" s="667"/>
    </row>
    <row r="1069" spans="2:16" hidden="1">
      <c r="B1069" s="1011"/>
      <c r="C1069" s="1172" t="s">
        <v>384</v>
      </c>
      <c r="E1069" s="1295" t="s">
        <v>190</v>
      </c>
      <c r="F1069" s="997">
        <f>F1068*0.025</f>
        <v>5.6557500000000003</v>
      </c>
      <c r="G1069" s="1085" t="s">
        <v>242</v>
      </c>
      <c r="H1069" s="997">
        <f>ข้อมูลแหล่งราคาวัสดุ!D54</f>
        <v>19.739999999999998</v>
      </c>
      <c r="I1069" s="1012" t="s">
        <v>238</v>
      </c>
      <c r="J1069" s="1016" t="s">
        <v>190</v>
      </c>
      <c r="K1069" s="997">
        <f t="shared" si="62"/>
        <v>111.644505</v>
      </c>
      <c r="L1069" s="1012" t="s">
        <v>238</v>
      </c>
      <c r="M1069" s="667" t="s">
        <v>246</v>
      </c>
      <c r="N1069" s="667"/>
    </row>
    <row r="1070" spans="2:16" hidden="1">
      <c r="B1070" s="1011"/>
      <c r="C1070" s="682" t="s">
        <v>603</v>
      </c>
      <c r="E1070" s="1295" t="s">
        <v>190</v>
      </c>
      <c r="F1070" s="997">
        <v>3</v>
      </c>
      <c r="G1070" s="1000" t="s">
        <v>604</v>
      </c>
      <c r="H1070" s="1242">
        <v>62.22</v>
      </c>
      <c r="I1070" s="1012" t="s">
        <v>238</v>
      </c>
      <c r="J1070" s="1016" t="s">
        <v>190</v>
      </c>
      <c r="K1070" s="997">
        <f t="shared" si="62"/>
        <v>186.66</v>
      </c>
      <c r="L1070" s="1012" t="s">
        <v>238</v>
      </c>
      <c r="M1070" s="667" t="s">
        <v>247</v>
      </c>
      <c r="N1070" s="667"/>
      <c r="P1070" s="978">
        <f>88.88*0.7</f>
        <v>62.215999999999994</v>
      </c>
    </row>
    <row r="1071" spans="2:16" hidden="1">
      <c r="B1071" s="1011"/>
      <c r="C1071" s="682" t="s">
        <v>195</v>
      </c>
      <c r="J1071" s="1016" t="s">
        <v>190</v>
      </c>
      <c r="K1071" s="997">
        <f>SUM(K1063:K1070)</f>
        <v>11501.294304999999</v>
      </c>
      <c r="L1071" s="1012" t="s">
        <v>238</v>
      </c>
      <c r="M1071" s="667" t="s">
        <v>605</v>
      </c>
      <c r="N1071" s="667"/>
    </row>
    <row r="1072" spans="2:16" hidden="1">
      <c r="B1072" s="1011"/>
      <c r="C1072" s="682" t="s">
        <v>400</v>
      </c>
      <c r="J1072" s="1016" t="s">
        <v>190</v>
      </c>
      <c r="K1072" s="997">
        <f>ROUND(K1071/F1062,0)</f>
        <v>1150</v>
      </c>
      <c r="L1072" s="1012" t="s">
        <v>593</v>
      </c>
      <c r="N1072" s="667" t="s">
        <v>248</v>
      </c>
    </row>
    <row r="1073" spans="2:13" hidden="1">
      <c r="B1073" s="1011"/>
      <c r="C1073" s="1011"/>
      <c r="D1073" s="837"/>
      <c r="E1073" s="1011"/>
      <c r="F1073" s="1011"/>
      <c r="G1073" s="1275"/>
      <c r="H1073" s="1011"/>
      <c r="I1073" s="1012"/>
      <c r="J1073" s="1016"/>
      <c r="K1073" s="1011"/>
      <c r="L1073" s="667"/>
      <c r="M1073" s="667"/>
    </row>
    <row r="1074" spans="2:13" hidden="1">
      <c r="B1074" s="1234"/>
      <c r="C1074" s="1023" t="str">
        <f>ปร.4_2!D39</f>
        <v>1.1.5(3) งานป้ายชื่อสะพาน คสล.</v>
      </c>
      <c r="D1074" s="837"/>
      <c r="E1074" s="1011"/>
      <c r="F1074" s="1011"/>
      <c r="G1074" s="1275"/>
      <c r="H1074" s="1011"/>
      <c r="I1074" s="1012"/>
      <c r="J1074" s="1016"/>
      <c r="K1074" s="1011"/>
      <c r="L1074" s="667"/>
      <c r="M1074" s="667"/>
    </row>
    <row r="1075" spans="2:13" hidden="1">
      <c r="B1075" s="1011"/>
      <c r="C1075" s="1148" t="s">
        <v>402</v>
      </c>
      <c r="D1075" s="837"/>
      <c r="E1075" s="1016" t="s">
        <v>190</v>
      </c>
      <c r="F1075" s="1011">
        <v>1.1599999999999999</v>
      </c>
      <c r="G1075" s="747" t="s">
        <v>251</v>
      </c>
      <c r="H1075" s="1011">
        <f>M1226</f>
        <v>2326</v>
      </c>
      <c r="I1075" s="1012" t="s">
        <v>238</v>
      </c>
      <c r="J1075" s="1016" t="s">
        <v>190</v>
      </c>
      <c r="K1075" s="1011">
        <f>F1075*H1075</f>
        <v>2698.16</v>
      </c>
      <c r="L1075" s="1012" t="s">
        <v>238</v>
      </c>
      <c r="M1075" s="667"/>
    </row>
    <row r="1076" spans="2:13" hidden="1">
      <c r="B1076" s="1011"/>
      <c r="C1076" s="1148" t="s">
        <v>254</v>
      </c>
      <c r="D1076" s="837"/>
      <c r="E1076" s="1016" t="s">
        <v>190</v>
      </c>
      <c r="F1076" s="1011">
        <v>15.24</v>
      </c>
      <c r="G1076" s="1085" t="s">
        <v>255</v>
      </c>
      <c r="H1076" s="1011">
        <f>K1454</f>
        <v>254</v>
      </c>
      <c r="I1076" s="1012" t="s">
        <v>238</v>
      </c>
      <c r="J1076" s="1016" t="s">
        <v>190</v>
      </c>
      <c r="K1076" s="1011">
        <f t="shared" ref="K1076:K1082" si="63">F1076*H1076</f>
        <v>3870.96</v>
      </c>
      <c r="L1076" s="1012" t="s">
        <v>238</v>
      </c>
      <c r="M1076" s="667"/>
    </row>
    <row r="1077" spans="2:13" hidden="1">
      <c r="B1077" s="1011"/>
      <c r="C1077" s="684" t="s">
        <v>5</v>
      </c>
      <c r="D1077" s="837"/>
      <c r="E1077" s="1011"/>
      <c r="F1077" s="1011"/>
      <c r="G1077" s="1275"/>
      <c r="H1077" s="1011"/>
      <c r="I1077" s="1012"/>
      <c r="J1077" s="1016"/>
      <c r="K1077" s="1011"/>
      <c r="L1077" s="667"/>
      <c r="M1077" s="667"/>
    </row>
    <row r="1078" spans="2:13" hidden="1">
      <c r="B1078" s="1011"/>
      <c r="C1078" s="684" t="s">
        <v>256</v>
      </c>
      <c r="D1078" s="837"/>
      <c r="E1078" s="1016" t="s">
        <v>190</v>
      </c>
      <c r="F1078" s="1011">
        <v>102.69</v>
      </c>
      <c r="G1078" s="1085" t="s">
        <v>242</v>
      </c>
      <c r="H1078" s="1011">
        <f>J1322</f>
        <v>21.43</v>
      </c>
      <c r="I1078" s="1012" t="s">
        <v>238</v>
      </c>
      <c r="J1078" s="1016" t="s">
        <v>190</v>
      </c>
      <c r="K1078" s="1011">
        <f t="shared" si="63"/>
        <v>2200.6466999999998</v>
      </c>
      <c r="L1078" s="1012" t="s">
        <v>238</v>
      </c>
      <c r="M1078" s="667"/>
    </row>
    <row r="1079" spans="2:13" hidden="1">
      <c r="B1079" s="1011"/>
      <c r="C1079" s="684" t="s">
        <v>406</v>
      </c>
      <c r="D1079" s="837"/>
      <c r="E1079" s="1016" t="s">
        <v>190</v>
      </c>
      <c r="F1079" s="1011">
        <v>168.75</v>
      </c>
      <c r="G1079" s="1085" t="s">
        <v>242</v>
      </c>
      <c r="H1079" s="1011">
        <f>J1410</f>
        <v>14.76</v>
      </c>
      <c r="I1079" s="1012" t="s">
        <v>238</v>
      </c>
      <c r="J1079" s="1016" t="s">
        <v>190</v>
      </c>
      <c r="K1079" s="1011">
        <f t="shared" si="63"/>
        <v>2490.75</v>
      </c>
      <c r="L1079" s="1012" t="s">
        <v>238</v>
      </c>
      <c r="M1079" s="667"/>
    </row>
    <row r="1080" spans="2:13" hidden="1">
      <c r="B1080" s="1011"/>
      <c r="C1080" s="684" t="s">
        <v>392</v>
      </c>
      <c r="D1080" s="837"/>
      <c r="E1080" s="1016" t="s">
        <v>190</v>
      </c>
      <c r="F1080" s="1011">
        <v>67.760000000000005</v>
      </c>
      <c r="G1080" s="1085" t="s">
        <v>242</v>
      </c>
      <c r="H1080" s="1011">
        <f>J1426</f>
        <v>14.76</v>
      </c>
      <c r="I1080" s="1012" t="s">
        <v>238</v>
      </c>
      <c r="J1080" s="1016" t="s">
        <v>190</v>
      </c>
      <c r="K1080" s="1011">
        <f t="shared" si="63"/>
        <v>1000.1376</v>
      </c>
      <c r="L1080" s="1012" t="s">
        <v>238</v>
      </c>
      <c r="M1080" s="667"/>
    </row>
    <row r="1081" spans="2:13" hidden="1">
      <c r="B1081" s="1011"/>
      <c r="C1081" s="1172" t="s">
        <v>8</v>
      </c>
      <c r="D1081" s="837"/>
      <c r="E1081" s="1016" t="s">
        <v>190</v>
      </c>
      <c r="F1081" s="1011">
        <f>SUM(F1078:F1080)</f>
        <v>339.2</v>
      </c>
      <c r="G1081" s="1085" t="s">
        <v>242</v>
      </c>
      <c r="H1081" s="1097">
        <f>ROUNDDOWN(IF(F1081=0,0,IF(F1081/1000&gt;100,2900/1000,3300/1000)),2)</f>
        <v>3.3</v>
      </c>
      <c r="I1081" s="1012" t="s">
        <v>238</v>
      </c>
      <c r="J1081" s="1016" t="s">
        <v>190</v>
      </c>
      <c r="K1081" s="1011">
        <f t="shared" si="63"/>
        <v>1119.3599999999999</v>
      </c>
      <c r="L1081" s="1012" t="s">
        <v>238</v>
      </c>
      <c r="M1081" s="667"/>
    </row>
    <row r="1082" spans="2:13" hidden="1">
      <c r="B1082" s="1011"/>
      <c r="C1082" s="1172" t="s">
        <v>384</v>
      </c>
      <c r="D1082" s="837"/>
      <c r="E1082" s="1016" t="s">
        <v>190</v>
      </c>
      <c r="F1082" s="1011">
        <f>F1081*0.025</f>
        <v>8.48</v>
      </c>
      <c r="G1082" s="1085" t="s">
        <v>242</v>
      </c>
      <c r="H1082" s="1011">
        <f>ข้อมูลแหล่งราคาวัสดุ!D54</f>
        <v>19.739999999999998</v>
      </c>
      <c r="I1082" s="1012" t="s">
        <v>238</v>
      </c>
      <c r="J1082" s="1016" t="s">
        <v>190</v>
      </c>
      <c r="K1082" s="1011">
        <f t="shared" si="63"/>
        <v>167.39519999999999</v>
      </c>
      <c r="L1082" s="1012" t="s">
        <v>238</v>
      </c>
      <c r="M1082" s="667"/>
    </row>
    <row r="1083" spans="2:13" hidden="1">
      <c r="B1083" s="1011"/>
      <c r="C1083" s="1172" t="s">
        <v>606</v>
      </c>
      <c r="D1083" s="837"/>
      <c r="E1083" s="1011"/>
      <c r="F1083" s="1011"/>
      <c r="G1083" s="1275"/>
      <c r="H1083" s="1011"/>
      <c r="I1083" s="1012"/>
      <c r="J1083" s="1016" t="s">
        <v>190</v>
      </c>
      <c r="K1083" s="1011">
        <v>10000</v>
      </c>
      <c r="L1083" s="1012" t="s">
        <v>238</v>
      </c>
      <c r="M1083" s="667"/>
    </row>
    <row r="1084" spans="2:13" hidden="1">
      <c r="B1084" s="1011"/>
      <c r="C1084" s="1172" t="s">
        <v>607</v>
      </c>
      <c r="D1084" s="837"/>
      <c r="E1084" s="1016" t="s">
        <v>190</v>
      </c>
      <c r="F1084" s="1011">
        <v>2.15</v>
      </c>
      <c r="G1084" s="1085" t="s">
        <v>255</v>
      </c>
      <c r="H1084" s="1011">
        <v>3000</v>
      </c>
      <c r="I1084" s="1012" t="s">
        <v>238</v>
      </c>
      <c r="J1084" s="1016" t="s">
        <v>190</v>
      </c>
      <c r="K1084" s="1011">
        <f>F1084*H1084</f>
        <v>6450</v>
      </c>
      <c r="L1084" s="1012" t="s">
        <v>238</v>
      </c>
      <c r="M1084" s="667"/>
    </row>
    <row r="1085" spans="2:13" hidden="1">
      <c r="B1085" s="1011"/>
      <c r="C1085" s="1172" t="s">
        <v>608</v>
      </c>
      <c r="D1085" s="837"/>
      <c r="E1085" s="1016" t="s">
        <v>190</v>
      </c>
      <c r="F1085" s="1011">
        <v>11.79</v>
      </c>
      <c r="G1085" s="1085" t="s">
        <v>255</v>
      </c>
      <c r="H1085" s="1011">
        <v>1700</v>
      </c>
      <c r="I1085" s="1012" t="s">
        <v>238</v>
      </c>
      <c r="J1085" s="1016" t="s">
        <v>190</v>
      </c>
      <c r="K1085" s="1011">
        <f>F1085*H1085</f>
        <v>20043</v>
      </c>
      <c r="L1085" s="1012" t="s">
        <v>238</v>
      </c>
      <c r="M1085" s="667"/>
    </row>
    <row r="1086" spans="2:13" hidden="1">
      <c r="B1086" s="1011"/>
      <c r="C1086" s="682" t="s">
        <v>195</v>
      </c>
      <c r="D1086" s="837"/>
      <c r="E1086" s="1011"/>
      <c r="F1086" s="1011"/>
      <c r="G1086" s="1275"/>
      <c r="H1086" s="1011"/>
      <c r="I1086" s="1012"/>
      <c r="J1086" s="1016" t="s">
        <v>190</v>
      </c>
      <c r="K1086" s="1011">
        <f>SUM(K1075:K1085)</f>
        <v>50040.409500000002</v>
      </c>
      <c r="L1086" s="1012" t="s">
        <v>238</v>
      </c>
      <c r="M1086" s="667"/>
    </row>
    <row r="1087" spans="2:13" hidden="1">
      <c r="B1087" s="1011"/>
      <c r="C1087" s="682" t="s">
        <v>266</v>
      </c>
      <c r="D1087" s="837"/>
      <c r="E1087" s="1011"/>
      <c r="F1087" s="1011"/>
      <c r="G1087" s="1275"/>
      <c r="H1087" s="1011"/>
      <c r="I1087" s="1012"/>
      <c r="J1087" s="1016" t="s">
        <v>190</v>
      </c>
      <c r="K1087" s="997">
        <f>ROUND(K1086,0)</f>
        <v>50040</v>
      </c>
      <c r="L1087" s="1012" t="s">
        <v>238</v>
      </c>
      <c r="M1087" s="667"/>
    </row>
    <row r="1088" spans="2:13" hidden="1">
      <c r="B1088" s="1011"/>
      <c r="C1088" s="1011"/>
      <c r="D1088" s="837"/>
      <c r="E1088" s="1011"/>
      <c r="F1088" s="1011"/>
      <c r="G1088" s="1275"/>
      <c r="H1088" s="1011"/>
      <c r="I1088" s="1012"/>
      <c r="J1088" s="1016"/>
      <c r="K1088" s="1011"/>
      <c r="L1088" s="667"/>
      <c r="M1088" s="667"/>
    </row>
    <row r="1089" spans="2:13" hidden="1">
      <c r="B1089" s="1234"/>
      <c r="C1089" s="1023" t="str">
        <f>ปร.4_2!D44</f>
        <v>1.1.5(8) งานลาดทางเท้า</v>
      </c>
      <c r="D1089" s="837"/>
      <c r="E1089" s="1011"/>
      <c r="F1089" s="1011"/>
      <c r="G1089" s="1275"/>
      <c r="H1089" s="1011"/>
      <c r="I1089" s="1012"/>
      <c r="J1089" s="1016"/>
      <c r="K1089" s="1011"/>
      <c r="L1089" s="667"/>
      <c r="M1089" s="667"/>
    </row>
    <row r="1090" spans="2:13" hidden="1">
      <c r="B1090" s="1011"/>
      <c r="C1090" s="682" t="s">
        <v>410</v>
      </c>
      <c r="F1090" s="997">
        <v>2.4</v>
      </c>
      <c r="G1090" s="1000" t="s">
        <v>7</v>
      </c>
      <c r="H1090" s="1011"/>
      <c r="I1090" s="1012"/>
      <c r="J1090" s="1016"/>
      <c r="K1090" s="1011"/>
      <c r="L1090" s="667"/>
      <c r="M1090" s="667"/>
    </row>
    <row r="1091" spans="2:13" hidden="1">
      <c r="B1091" s="1011"/>
      <c r="C1091" s="684" t="s">
        <v>609</v>
      </c>
      <c r="D1091" s="837"/>
      <c r="E1091" s="1295" t="s">
        <v>190</v>
      </c>
      <c r="F1091" s="1011">
        <v>0.24</v>
      </c>
      <c r="G1091" s="747" t="s">
        <v>251</v>
      </c>
      <c r="H1091" s="1011">
        <f>M1226</f>
        <v>2326</v>
      </c>
      <c r="I1091" s="1012" t="s">
        <v>238</v>
      </c>
      <c r="J1091" s="1016" t="s">
        <v>190</v>
      </c>
      <c r="K1091" s="1011">
        <f>F1091*H1091</f>
        <v>558.24</v>
      </c>
      <c r="L1091" s="667" t="s">
        <v>238</v>
      </c>
      <c r="M1091" s="667"/>
    </row>
    <row r="1092" spans="2:13" hidden="1">
      <c r="B1092" s="1011"/>
      <c r="C1092" s="684" t="s">
        <v>260</v>
      </c>
      <c r="D1092" s="837"/>
      <c r="E1092" s="1295" t="s">
        <v>190</v>
      </c>
      <c r="F1092" s="1011">
        <v>0.67999999999999994</v>
      </c>
      <c r="G1092" s="1085" t="s">
        <v>255</v>
      </c>
      <c r="H1092" s="1011">
        <f>K1471</f>
        <v>227</v>
      </c>
      <c r="I1092" s="1012" t="s">
        <v>238</v>
      </c>
      <c r="J1092" s="1016" t="s">
        <v>190</v>
      </c>
      <c r="K1092" s="1011">
        <f>F1092*H1092</f>
        <v>154.35999999999999</v>
      </c>
      <c r="L1092" s="667" t="s">
        <v>238</v>
      </c>
      <c r="M1092" s="667"/>
    </row>
    <row r="1093" spans="2:13" hidden="1">
      <c r="B1093" s="1011"/>
      <c r="C1093" s="684" t="s">
        <v>5</v>
      </c>
      <c r="D1093" s="837"/>
      <c r="E1093" s="1295"/>
      <c r="F1093" s="1011"/>
      <c r="G1093" s="1275"/>
      <c r="H1093" s="1011"/>
      <c r="I1093" s="1012"/>
      <c r="J1093" s="1016"/>
      <c r="K1093" s="1011"/>
      <c r="L1093" s="667"/>
      <c r="M1093" s="667"/>
    </row>
    <row r="1094" spans="2:13" hidden="1">
      <c r="B1094" s="1011"/>
      <c r="C1094" s="684" t="s">
        <v>391</v>
      </c>
      <c r="D1094" s="837"/>
      <c r="E1094" s="1295" t="s">
        <v>190</v>
      </c>
      <c r="F1094" s="1011">
        <v>23.1</v>
      </c>
      <c r="G1094" s="1085" t="s">
        <v>242</v>
      </c>
      <c r="H1094" s="1011">
        <f>J1402</f>
        <v>14.96</v>
      </c>
      <c r="I1094" s="1012" t="s">
        <v>238</v>
      </c>
      <c r="J1094" s="1016" t="s">
        <v>190</v>
      </c>
      <c r="K1094" s="1011">
        <f>F1094*H1094</f>
        <v>345.57600000000002</v>
      </c>
      <c r="L1094" s="667" t="s">
        <v>238</v>
      </c>
      <c r="M1094" s="667"/>
    </row>
    <row r="1095" spans="2:13" hidden="1">
      <c r="B1095" s="1011"/>
      <c r="C1095" s="1172" t="s">
        <v>8</v>
      </c>
      <c r="D1095" s="837"/>
      <c r="E1095" s="1295" t="s">
        <v>190</v>
      </c>
      <c r="F1095" s="1011">
        <f>F1094</f>
        <v>23.1</v>
      </c>
      <c r="G1095" s="1085" t="s">
        <v>242</v>
      </c>
      <c r="H1095" s="1097">
        <f>ROUNDDOWN(IF(F1095=0,0,IF(F1095/1000&gt;100,2900/1000,3300/1000)),2)</f>
        <v>3.3</v>
      </c>
      <c r="I1095" s="1012" t="s">
        <v>238</v>
      </c>
      <c r="J1095" s="1016" t="s">
        <v>190</v>
      </c>
      <c r="K1095" s="1011">
        <f>F1095*H1095</f>
        <v>76.23</v>
      </c>
      <c r="L1095" s="667" t="s">
        <v>238</v>
      </c>
      <c r="M1095" s="667"/>
    </row>
    <row r="1096" spans="2:13" hidden="1">
      <c r="B1096" s="1011"/>
      <c r="C1096" s="1172" t="s">
        <v>384</v>
      </c>
      <c r="D1096" s="837"/>
      <c r="E1096" s="1295" t="s">
        <v>190</v>
      </c>
      <c r="F1096" s="1011">
        <f>F1095*0.025</f>
        <v>0.57750000000000001</v>
      </c>
      <c r="G1096" s="1085" t="s">
        <v>242</v>
      </c>
      <c r="H1096" s="1011">
        <f>ข้อมูลแหล่งราคาวัสดุ!D54</f>
        <v>19.739999999999998</v>
      </c>
      <c r="I1096" s="1012" t="s">
        <v>238</v>
      </c>
      <c r="J1096" s="1016" t="s">
        <v>190</v>
      </c>
      <c r="K1096" s="1011">
        <f>F1096*H1096</f>
        <v>11.399849999999999</v>
      </c>
      <c r="L1096" s="667" t="s">
        <v>238</v>
      </c>
      <c r="M1096" s="667"/>
    </row>
    <row r="1097" spans="2:13" hidden="1">
      <c r="B1097" s="1011"/>
      <c r="C1097" s="682" t="s">
        <v>195</v>
      </c>
      <c r="D1097" s="837"/>
      <c r="E1097" s="1011"/>
      <c r="F1097" s="1011"/>
      <c r="G1097" s="1275"/>
      <c r="H1097" s="1011"/>
      <c r="I1097" s="1012"/>
      <c r="J1097" s="1016" t="s">
        <v>190</v>
      </c>
      <c r="K1097" s="1011">
        <f>SUM(K1091:K1096)</f>
        <v>1145.80585</v>
      </c>
      <c r="L1097" s="667" t="s">
        <v>238</v>
      </c>
      <c r="M1097" s="667"/>
    </row>
    <row r="1098" spans="2:13" hidden="1">
      <c r="B1098" s="1011"/>
      <c r="C1098" s="682" t="s">
        <v>413</v>
      </c>
      <c r="D1098" s="837"/>
      <c r="E1098" s="1011"/>
      <c r="F1098" s="1011"/>
      <c r="G1098" s="1275"/>
      <c r="H1098" s="1011"/>
      <c r="I1098" s="1012"/>
      <c r="J1098" s="1016" t="s">
        <v>190</v>
      </c>
      <c r="K1098" s="1011">
        <f>ROUND(K1097/F1090,0)</f>
        <v>477</v>
      </c>
      <c r="L1098" s="667" t="s">
        <v>191</v>
      </c>
      <c r="M1098" s="667"/>
    </row>
    <row r="1099" spans="2:13" hidden="1">
      <c r="B1099" s="1011"/>
      <c r="C1099" s="1011"/>
      <c r="D1099" s="837"/>
      <c r="E1099" s="1011"/>
      <c r="F1099" s="1011"/>
      <c r="G1099" s="1275"/>
      <c r="H1099" s="1011"/>
      <c r="I1099" s="1012"/>
      <c r="J1099" s="1016"/>
      <c r="K1099" s="1011"/>
      <c r="L1099" s="1012"/>
      <c r="M1099" s="667"/>
    </row>
    <row r="1100" spans="2:13" hidden="1">
      <c r="B1100" s="1234"/>
      <c r="C1100" s="1023" t="str">
        <f>ปร.4_2!D45</f>
        <v>1.1.5(9) แท่นติดตั้งเสาไฟฟ้า (กรณีติดตั้งไฟฟ้าบนสะพาน)</v>
      </c>
      <c r="D1100" s="837"/>
      <c r="E1100" s="1011"/>
      <c r="F1100" s="1011"/>
      <c r="G1100" s="1275"/>
      <c r="H1100" s="1011"/>
      <c r="I1100" s="1012"/>
      <c r="J1100" s="1016"/>
      <c r="K1100" s="1011"/>
      <c r="L1100" s="1012"/>
      <c r="M1100" s="667"/>
    </row>
    <row r="1101" spans="2:13" hidden="1">
      <c r="B1101" s="1011"/>
      <c r="C1101" s="682" t="s">
        <v>402</v>
      </c>
      <c r="D1101" s="837"/>
      <c r="E1101" s="1016" t="s">
        <v>190</v>
      </c>
      <c r="F1101" s="1011">
        <v>0.05</v>
      </c>
      <c r="G1101" s="1275" t="s">
        <v>251</v>
      </c>
      <c r="H1101" s="1011">
        <f>M1226</f>
        <v>2326</v>
      </c>
      <c r="I1101" s="1012" t="s">
        <v>238</v>
      </c>
      <c r="J1101" s="1016" t="s">
        <v>190</v>
      </c>
      <c r="K1101" s="1011">
        <f>F1101*H1101</f>
        <v>116.30000000000001</v>
      </c>
      <c r="L1101" s="667" t="s">
        <v>238</v>
      </c>
      <c r="M1101" s="667"/>
    </row>
    <row r="1102" spans="2:13" hidden="1">
      <c r="B1102" s="1011"/>
      <c r="C1102" s="682" t="s">
        <v>254</v>
      </c>
      <c r="D1102" s="837"/>
      <c r="E1102" s="1016" t="s">
        <v>190</v>
      </c>
      <c r="F1102" s="1011">
        <v>0.48</v>
      </c>
      <c r="G1102" s="1275" t="s">
        <v>255</v>
      </c>
      <c r="H1102" s="1011">
        <f>K1454</f>
        <v>254</v>
      </c>
      <c r="I1102" s="1012" t="s">
        <v>238</v>
      </c>
      <c r="J1102" s="1016" t="s">
        <v>190</v>
      </c>
      <c r="K1102" s="1011">
        <f t="shared" ref="K1102:K1110" si="64">F1102*H1102</f>
        <v>121.92</v>
      </c>
      <c r="L1102" s="667" t="s">
        <v>238</v>
      </c>
      <c r="M1102" s="667"/>
    </row>
    <row r="1103" spans="2:13" hidden="1">
      <c r="B1103" s="1011"/>
      <c r="C1103" s="682" t="s">
        <v>5</v>
      </c>
      <c r="D1103" s="837"/>
      <c r="E1103" s="1011"/>
      <c r="F1103" s="1011"/>
      <c r="G1103" s="1275"/>
      <c r="H1103" s="1011"/>
      <c r="I1103" s="1012"/>
      <c r="J1103" s="1016"/>
      <c r="K1103" s="1011"/>
      <c r="L1103" s="1012"/>
      <c r="M1103" s="667"/>
    </row>
    <row r="1104" spans="2:13" hidden="1">
      <c r="B1104" s="1011"/>
      <c r="C1104" s="682" t="s">
        <v>391</v>
      </c>
      <c r="D1104" s="837"/>
      <c r="E1104" s="1016" t="s">
        <v>190</v>
      </c>
      <c r="F1104" s="1011">
        <v>9.39</v>
      </c>
      <c r="G1104" s="1275" t="s">
        <v>242</v>
      </c>
      <c r="H1104" s="1011">
        <f>J1402</f>
        <v>14.96</v>
      </c>
      <c r="I1104" s="1012" t="s">
        <v>238</v>
      </c>
      <c r="J1104" s="1016" t="s">
        <v>190</v>
      </c>
      <c r="K1104" s="1011">
        <f t="shared" si="64"/>
        <v>140.4744</v>
      </c>
      <c r="L1104" s="667" t="s">
        <v>238</v>
      </c>
      <c r="M1104" s="667"/>
    </row>
    <row r="1105" spans="1:13" hidden="1">
      <c r="B1105" s="1011"/>
      <c r="C1105" s="682" t="s">
        <v>411</v>
      </c>
      <c r="D1105" s="837"/>
      <c r="E1105" s="1016" t="s">
        <v>190</v>
      </c>
      <c r="F1105" s="1011">
        <v>8.15</v>
      </c>
      <c r="G1105" s="1275" t="s">
        <v>242</v>
      </c>
      <c r="H1105" s="1011">
        <f>J1418</f>
        <v>14.76</v>
      </c>
      <c r="I1105" s="1012" t="s">
        <v>238</v>
      </c>
      <c r="J1105" s="1016" t="s">
        <v>190</v>
      </c>
      <c r="K1105" s="1011">
        <f t="shared" si="64"/>
        <v>120.294</v>
      </c>
      <c r="L1105" s="667" t="s">
        <v>238</v>
      </c>
      <c r="M1105" s="667"/>
    </row>
    <row r="1106" spans="1:13" hidden="1">
      <c r="B1106" s="1011"/>
      <c r="C1106" s="682" t="s">
        <v>8</v>
      </c>
      <c r="D1106" s="837"/>
      <c r="E1106" s="1016" t="s">
        <v>190</v>
      </c>
      <c r="F1106" s="1011">
        <f>SUM(F1104:F1105)</f>
        <v>17.54</v>
      </c>
      <c r="G1106" s="1275" t="s">
        <v>242</v>
      </c>
      <c r="H1106" s="1097">
        <f>ROUNDDOWN(IF(F1106=0,0,IF(F1106/1000&gt;100,2900/1000,3300/1000)),2)</f>
        <v>3.3</v>
      </c>
      <c r="I1106" s="1012" t="s">
        <v>238</v>
      </c>
      <c r="J1106" s="1016" t="s">
        <v>190</v>
      </c>
      <c r="K1106" s="1011">
        <f t="shared" si="64"/>
        <v>57.881999999999991</v>
      </c>
      <c r="L1106" s="667" t="s">
        <v>238</v>
      </c>
      <c r="M1106" s="667"/>
    </row>
    <row r="1107" spans="1:13" hidden="1">
      <c r="B1107" s="1011"/>
      <c r="C1107" s="682" t="s">
        <v>384</v>
      </c>
      <c r="D1107" s="837"/>
      <c r="E1107" s="1016" t="s">
        <v>190</v>
      </c>
      <c r="F1107" s="1011">
        <f>F1106*0.025</f>
        <v>0.4385</v>
      </c>
      <c r="G1107" s="1275" t="s">
        <v>242</v>
      </c>
      <c r="H1107" s="1011">
        <f>ข้อมูลแหล่งราคาวัสดุ!D54</f>
        <v>19.739999999999998</v>
      </c>
      <c r="I1107" s="1012" t="s">
        <v>238</v>
      </c>
      <c r="J1107" s="1016" t="s">
        <v>190</v>
      </c>
      <c r="K1107" s="1011">
        <f t="shared" si="64"/>
        <v>8.6559899999999992</v>
      </c>
      <c r="L1107" s="667" t="s">
        <v>238</v>
      </c>
      <c r="M1107" s="667"/>
    </row>
    <row r="1108" spans="1:13" hidden="1">
      <c r="B1108" s="1011"/>
      <c r="C1108" s="682" t="s">
        <v>610</v>
      </c>
      <c r="D1108" s="837"/>
      <c r="E1108" s="1016" t="s">
        <v>190</v>
      </c>
      <c r="F1108" s="1011">
        <v>32.25</v>
      </c>
      <c r="G1108" s="1275" t="s">
        <v>242</v>
      </c>
      <c r="H1108" s="1206">
        <v>26</v>
      </c>
      <c r="I1108" s="1012" t="s">
        <v>238</v>
      </c>
      <c r="J1108" s="1016" t="s">
        <v>190</v>
      </c>
      <c r="K1108" s="1011">
        <f t="shared" si="64"/>
        <v>838.5</v>
      </c>
      <c r="L1108" s="667" t="s">
        <v>238</v>
      </c>
      <c r="M1108" s="667"/>
    </row>
    <row r="1109" spans="1:13" hidden="1">
      <c r="B1109" s="1011"/>
      <c r="C1109" s="682" t="s">
        <v>1873</v>
      </c>
      <c r="D1109" s="837"/>
      <c r="E1109" s="1016" t="s">
        <v>190</v>
      </c>
      <c r="F1109" s="1011">
        <v>0.3</v>
      </c>
      <c r="G1109" s="1275" t="s">
        <v>454</v>
      </c>
      <c r="H1109" s="1206">
        <v>89</v>
      </c>
      <c r="I1109" s="1012" t="s">
        <v>238</v>
      </c>
      <c r="J1109" s="1016" t="s">
        <v>190</v>
      </c>
      <c r="K1109" s="1011">
        <f t="shared" si="64"/>
        <v>26.7</v>
      </c>
      <c r="L1109" s="667" t="s">
        <v>238</v>
      </c>
      <c r="M1109" s="667"/>
    </row>
    <row r="1110" spans="1:13" hidden="1">
      <c r="B1110" s="1011"/>
      <c r="C1110" s="682" t="s">
        <v>1874</v>
      </c>
      <c r="D1110" s="837"/>
      <c r="E1110" s="1016" t="s">
        <v>190</v>
      </c>
      <c r="F1110" s="1011">
        <v>4</v>
      </c>
      <c r="G1110" s="1275" t="s">
        <v>611</v>
      </c>
      <c r="H1110" s="1206">
        <v>30</v>
      </c>
      <c r="I1110" s="1012" t="s">
        <v>238</v>
      </c>
      <c r="J1110" s="1016" t="s">
        <v>190</v>
      </c>
      <c r="K1110" s="1011">
        <f t="shared" si="64"/>
        <v>120</v>
      </c>
      <c r="L1110" s="667" t="s">
        <v>238</v>
      </c>
      <c r="M1110" s="667"/>
    </row>
    <row r="1111" spans="1:13" hidden="1">
      <c r="B1111" s="1011"/>
      <c r="C1111" s="682" t="s">
        <v>195</v>
      </c>
      <c r="D1111" s="837"/>
      <c r="E1111" s="1011"/>
      <c r="F1111" s="1011"/>
      <c r="G1111" s="1275"/>
      <c r="H1111" s="1011"/>
      <c r="I1111" s="1012"/>
      <c r="J1111" s="1016" t="s">
        <v>190</v>
      </c>
      <c r="K1111" s="1011">
        <f>SUM(K1101:K1110)</f>
        <v>1550.72639</v>
      </c>
      <c r="L1111" s="667" t="s">
        <v>238</v>
      </c>
      <c r="M1111" s="667"/>
    </row>
    <row r="1112" spans="1:13" hidden="1">
      <c r="B1112" s="1011"/>
      <c r="C1112" s="682" t="s">
        <v>266</v>
      </c>
      <c r="D1112" s="837"/>
      <c r="E1112" s="1295"/>
      <c r="F1112" s="1011"/>
      <c r="G1112" s="1275"/>
      <c r="H1112" s="1011"/>
      <c r="I1112" s="1012"/>
      <c r="J1112" s="1016" t="s">
        <v>190</v>
      </c>
      <c r="K1112" s="997">
        <f>ROUND(K1111,0)</f>
        <v>1551</v>
      </c>
      <c r="L1112" s="667" t="s">
        <v>238</v>
      </c>
      <c r="M1112" s="667"/>
    </row>
    <row r="1113" spans="1:13" hidden="1">
      <c r="B1113" s="1011"/>
      <c r="C1113" s="1011"/>
      <c r="D1113" s="837"/>
      <c r="E1113" s="1011"/>
      <c r="F1113" s="1011"/>
      <c r="G1113" s="1275"/>
      <c r="H1113" s="1011"/>
      <c r="I1113" s="1012"/>
      <c r="J1113" s="1016"/>
      <c r="K1113" s="1011"/>
      <c r="L1113" s="1012"/>
      <c r="M1113" s="667"/>
    </row>
    <row r="1114" spans="1:13" hidden="1">
      <c r="A1114" s="1001">
        <v>2</v>
      </c>
      <c r="B1114" s="1023" t="str">
        <f>ปร.4_2!B61</f>
        <v>งานท่อลอดเหลี่ยม  คสล.</v>
      </c>
      <c r="C1114" s="1011"/>
      <c r="D1114" s="837"/>
      <c r="E1114" s="1011"/>
      <c r="F1114" s="1011"/>
      <c r="G1114" s="1275"/>
      <c r="H1114" s="1011"/>
      <c r="I1114" s="1012"/>
      <c r="J1114" s="1016"/>
      <c r="K1114" s="1011"/>
      <c r="L1114" s="1012"/>
      <c r="M1114" s="667"/>
    </row>
    <row r="1115" spans="1:13" hidden="1">
      <c r="B1115" s="1292">
        <f>ปร.4_2!B62</f>
        <v>2.1</v>
      </c>
      <c r="C1115" s="1031" t="str">
        <f>ปร.4_2!C62&amp;" "&amp;TEXT(ปร.4_2!F62,"0 + 000.000")</f>
        <v>งานท่อลอดเหลี่ยมที่  กม. 0 + 000.000</v>
      </c>
      <c r="D1115" s="837"/>
      <c r="E1115" s="1011"/>
      <c r="F1115" s="1011"/>
      <c r="G1115" s="1275"/>
      <c r="H1115" s="1011"/>
      <c r="I1115" s="1012"/>
      <c r="J1115" s="1016"/>
      <c r="K1115" s="1011"/>
      <c r="L1115" s="1012"/>
      <c r="M1115" s="667"/>
    </row>
    <row r="1116" spans="1:13" hidden="1">
      <c r="B1116" s="1011"/>
      <c r="C1116" s="1031" t="str">
        <f>ปร.4_2!C63&amp;"  "&amp;ปร.4_2!D63&amp;"  "&amp;ปร.4_2!F63&amp;"     "&amp;ปร.4_2!G63</f>
        <v>ขนาด  1.50 x 1.50  เมตร     ความยาว</v>
      </c>
      <c r="D1116" s="837"/>
      <c r="E1116" s="1011"/>
      <c r="G1116" s="1232" t="str">
        <f>FIXED(ปร.4_2!H63,2)</f>
        <v>0.00</v>
      </c>
      <c r="H1116" s="1299" t="str">
        <f>ปร.4_2!I63</f>
        <v>เมตร</v>
      </c>
      <c r="I1116" s="1012"/>
      <c r="J1116" s="1016"/>
      <c r="K1116" s="1011"/>
      <c r="L1116" s="1012"/>
      <c r="M1116" s="667"/>
    </row>
    <row r="1117" spans="1:13" hidden="1">
      <c r="B1117" s="1300" t="s">
        <v>701</v>
      </c>
      <c r="C1117" s="843" t="s">
        <v>702</v>
      </c>
      <c r="D1117" s="837"/>
      <c r="E1117" s="1016" t="s">
        <v>190</v>
      </c>
      <c r="F1117" s="1011">
        <f>ปร.4_2!K64</f>
        <v>0</v>
      </c>
      <c r="G1117" s="1275" t="s">
        <v>251</v>
      </c>
      <c r="H1117" s="1011">
        <f>IF(F1117&lt;25,148,IF(F1117&gt;100,99,125))</f>
        <v>148</v>
      </c>
      <c r="I1117" s="1012" t="s">
        <v>238</v>
      </c>
      <c r="J1117" s="1016" t="s">
        <v>190</v>
      </c>
      <c r="K1117" s="1011">
        <f>F1117*H1117</f>
        <v>0</v>
      </c>
      <c r="L1117" s="1012" t="s">
        <v>238</v>
      </c>
      <c r="M1117" s="667" t="s">
        <v>1367</v>
      </c>
    </row>
    <row r="1118" spans="1:13" hidden="1">
      <c r="B1118" s="1300" t="s">
        <v>703</v>
      </c>
      <c r="C1118" s="843" t="s">
        <v>704</v>
      </c>
      <c r="D1118" s="837"/>
      <c r="E1118" s="1016" t="s">
        <v>190</v>
      </c>
      <c r="F1118" s="1011">
        <f>ปร.4_2!K65</f>
        <v>0</v>
      </c>
      <c r="G1118" s="1275" t="s">
        <v>251</v>
      </c>
      <c r="H1118" s="1011">
        <f>M1263</f>
        <v>1842</v>
      </c>
      <c r="I1118" s="1012" t="s">
        <v>238</v>
      </c>
      <c r="J1118" s="1016" t="s">
        <v>190</v>
      </c>
      <c r="K1118" s="1011">
        <f t="shared" ref="K1118:K1125" si="65">F1118*H1118</f>
        <v>0</v>
      </c>
      <c r="L1118" s="1012" t="s">
        <v>238</v>
      </c>
      <c r="M1118" s="667" t="s">
        <v>234</v>
      </c>
    </row>
    <row r="1119" spans="1:13" hidden="1">
      <c r="B1119" s="1300" t="s">
        <v>705</v>
      </c>
      <c r="C1119" s="1453" t="str">
        <f>[21]ปร.4_2!D66</f>
        <v>ท่อลอดเหลี่ยมชนิดหล่อสำเร็จขนาด</v>
      </c>
      <c r="D1119" s="837"/>
      <c r="E1119" s="1016" t="s">
        <v>190</v>
      </c>
      <c r="F1119" s="1011">
        <f>ปร.4_2!K66</f>
        <v>0</v>
      </c>
      <c r="G1119" s="1016" t="s">
        <v>616</v>
      </c>
      <c r="H1119" s="1206">
        <f>ข้อมูลแหล่งราคาวัสดุ!D65</f>
        <v>10600</v>
      </c>
      <c r="I1119" s="1012" t="s">
        <v>238</v>
      </c>
      <c r="J1119" s="1016" t="s">
        <v>190</v>
      </c>
      <c r="K1119" s="1011">
        <f t="shared" si="65"/>
        <v>0</v>
      </c>
      <c r="L1119" s="1012" t="s">
        <v>238</v>
      </c>
      <c r="M1119" s="667" t="s">
        <v>239</v>
      </c>
    </row>
    <row r="1120" spans="1:13" hidden="1">
      <c r="B1120" s="1300" t="s">
        <v>706</v>
      </c>
      <c r="C1120" s="1454" t="str">
        <f>[21]ปร.4_2!D67</f>
        <v>ค่ายกประกอบติดตั้งท่อลอดเหลี่ยมชนิดหล่อสำเร็จ</v>
      </c>
      <c r="D1120" s="837"/>
      <c r="E1120" s="1016" t="s">
        <v>190</v>
      </c>
      <c r="F1120" s="1011">
        <f>F1119</f>
        <v>0</v>
      </c>
      <c r="G1120" s="1016" t="s">
        <v>616</v>
      </c>
      <c r="H1120" s="1011">
        <v>800</v>
      </c>
      <c r="I1120" s="1012" t="s">
        <v>238</v>
      </c>
      <c r="J1120" s="1016" t="s">
        <v>190</v>
      </c>
      <c r="K1120" s="1011">
        <f t="shared" si="65"/>
        <v>0</v>
      </c>
      <c r="L1120" s="1012" t="s">
        <v>238</v>
      </c>
      <c r="M1120" s="667" t="s">
        <v>244</v>
      </c>
    </row>
    <row r="1121" spans="2:13" hidden="1">
      <c r="B1121" s="1300" t="s">
        <v>707</v>
      </c>
      <c r="C1121" s="843" t="s">
        <v>1364</v>
      </c>
      <c r="D1121" s="837"/>
      <c r="E1121" s="1016"/>
      <c r="F1121" s="1011"/>
      <c r="G1121" s="1275"/>
      <c r="H1121" s="1011"/>
      <c r="I1121" s="1012"/>
      <c r="J1121" s="1016"/>
      <c r="K1121" s="1011"/>
      <c r="L1121" s="1012"/>
      <c r="M1121" s="667"/>
    </row>
    <row r="1122" spans="2:13" hidden="1">
      <c r="B1122" s="1291" t="str">
        <f>ปร.4_2!D69</f>
        <v xml:space="preserve"> - คอนกรีต ค.2 สำหรับกำแพงปากท่อและทับหลัง</v>
      </c>
      <c r="D1122" s="837"/>
      <c r="E1122" s="1016" t="s">
        <v>190</v>
      </c>
      <c r="F1122" s="1011">
        <f>ปร.4_2!K69</f>
        <v>0</v>
      </c>
      <c r="G1122" s="1275" t="s">
        <v>251</v>
      </c>
      <c r="H1122" s="1011">
        <f>M1279</f>
        <v>2171</v>
      </c>
      <c r="I1122" s="1012" t="s">
        <v>238</v>
      </c>
      <c r="J1122" s="1016" t="s">
        <v>190</v>
      </c>
      <c r="K1122" s="1011">
        <f>F1122*H1122</f>
        <v>0</v>
      </c>
      <c r="L1122" s="1012" t="s">
        <v>238</v>
      </c>
      <c r="M1122" s="667" t="s">
        <v>236</v>
      </c>
    </row>
    <row r="1123" spans="2:13" hidden="1">
      <c r="B1123" s="1454" t="str">
        <f>[21]ปร.4_2!D70</f>
        <v xml:space="preserve"> - คอนกรีต ค.3 สำหรับท่อลอดเหลี่ยมชนิดหล่อในที่ (ต่อเชื่อมกำแพงปากท่อ)</v>
      </c>
      <c r="D1123" s="837"/>
      <c r="E1123" s="1016" t="s">
        <v>190</v>
      </c>
      <c r="F1123" s="1011">
        <f>ปร.4_2!K70</f>
        <v>0</v>
      </c>
      <c r="G1123" s="1275" t="s">
        <v>251</v>
      </c>
      <c r="H1123" s="1011">
        <f>M1287</f>
        <v>2235</v>
      </c>
      <c r="I1123" s="1012" t="s">
        <v>238</v>
      </c>
      <c r="J1123" s="1016" t="s">
        <v>190</v>
      </c>
      <c r="K1123" s="1011">
        <f>F1123*H1123</f>
        <v>0</v>
      </c>
      <c r="L1123" s="1012" t="s">
        <v>238</v>
      </c>
      <c r="M1123" s="667" t="s">
        <v>249</v>
      </c>
    </row>
    <row r="1124" spans="2:13" hidden="1">
      <c r="B1124" s="1300" t="s">
        <v>708</v>
      </c>
      <c r="C1124" s="843" t="s">
        <v>1355</v>
      </c>
      <c r="D1124" s="837"/>
      <c r="E1124" s="1016" t="s">
        <v>190</v>
      </c>
      <c r="F1124" s="1011">
        <f>ปร.4_2!K71</f>
        <v>0</v>
      </c>
      <c r="G1124" s="1275" t="s">
        <v>255</v>
      </c>
      <c r="H1124" s="1011">
        <f>K1484</f>
        <v>336</v>
      </c>
      <c r="I1124" s="1012" t="s">
        <v>238</v>
      </c>
      <c r="J1124" s="1016" t="s">
        <v>190</v>
      </c>
      <c r="K1124" s="1011">
        <f t="shared" si="65"/>
        <v>0</v>
      </c>
      <c r="L1124" s="1012" t="s">
        <v>238</v>
      </c>
      <c r="M1124" s="667" t="s">
        <v>246</v>
      </c>
    </row>
    <row r="1125" spans="2:13" hidden="1">
      <c r="B1125" s="1300" t="s">
        <v>712</v>
      </c>
      <c r="C1125" s="843" t="s">
        <v>222</v>
      </c>
      <c r="D1125" s="837"/>
      <c r="E1125" s="1016" t="s">
        <v>190</v>
      </c>
      <c r="F1125" s="1011">
        <f>ปร.4_2!K72</f>
        <v>0</v>
      </c>
      <c r="G1125" s="1275" t="s">
        <v>251</v>
      </c>
      <c r="H1125" s="1011">
        <f>H74</f>
        <v>421.57000000000005</v>
      </c>
      <c r="I1125" s="1012" t="s">
        <v>238</v>
      </c>
      <c r="J1125" s="1016" t="s">
        <v>190</v>
      </c>
      <c r="K1125" s="1011">
        <f t="shared" si="65"/>
        <v>0</v>
      </c>
      <c r="L1125" s="1012" t="s">
        <v>238</v>
      </c>
      <c r="M1125" s="667" t="s">
        <v>247</v>
      </c>
    </row>
    <row r="1126" spans="2:13" hidden="1">
      <c r="B1126" s="1300" t="s">
        <v>2010</v>
      </c>
      <c r="C1126" s="843" t="s">
        <v>709</v>
      </c>
      <c r="D1126" s="837"/>
      <c r="E1126" s="1011"/>
      <c r="F1126" s="1011"/>
      <c r="G1126" s="1275"/>
      <c r="H1126" s="1011"/>
      <c r="I1126" s="1012"/>
      <c r="J1126" s="1016"/>
      <c r="K1126" s="1011"/>
      <c r="L1126" s="1012"/>
      <c r="M1126" s="667"/>
    </row>
    <row r="1127" spans="2:13" hidden="1">
      <c r="B1127" s="1300"/>
      <c r="C1127" s="843" t="s">
        <v>1356</v>
      </c>
      <c r="D1127" s="837"/>
      <c r="E1127" s="1016" t="s">
        <v>190</v>
      </c>
      <c r="F1127" s="1011">
        <f>ปร.4_2!K74</f>
        <v>0</v>
      </c>
      <c r="G1127" s="1275" t="s">
        <v>242</v>
      </c>
      <c r="H1127" s="1011">
        <f>J1314</f>
        <v>22.41</v>
      </c>
      <c r="I1127" s="1012" t="s">
        <v>238</v>
      </c>
      <c r="J1127" s="1016" t="s">
        <v>190</v>
      </c>
      <c r="K1127" s="1011">
        <f t="shared" ref="K1127:K1136" si="66">F1127*H1127</f>
        <v>0</v>
      </c>
      <c r="L1127" s="1012" t="s">
        <v>238</v>
      </c>
      <c r="M1127" s="667" t="s">
        <v>262</v>
      </c>
    </row>
    <row r="1128" spans="2:13" hidden="1">
      <c r="B1128" s="1011"/>
      <c r="C1128" s="843" t="s">
        <v>1357</v>
      </c>
      <c r="D1128" s="837"/>
      <c r="E1128" s="1016" t="s">
        <v>190</v>
      </c>
      <c r="F1128" s="1011">
        <f>ปร.4_2!K75</f>
        <v>0</v>
      </c>
      <c r="G1128" s="1275" t="s">
        <v>242</v>
      </c>
      <c r="H1128" s="1011">
        <f>J1322</f>
        <v>21.43</v>
      </c>
      <c r="I1128" s="1012" t="s">
        <v>238</v>
      </c>
      <c r="J1128" s="1016" t="s">
        <v>190</v>
      </c>
      <c r="K1128" s="1011">
        <f t="shared" si="66"/>
        <v>0</v>
      </c>
      <c r="L1128" s="1012" t="s">
        <v>238</v>
      </c>
      <c r="M1128" s="667" t="s">
        <v>379</v>
      </c>
    </row>
    <row r="1129" spans="2:13" hidden="1">
      <c r="B1129" s="1011"/>
      <c r="C1129" s="843" t="s">
        <v>1362</v>
      </c>
      <c r="D1129" s="837"/>
      <c r="E1129" s="1016" t="s">
        <v>190</v>
      </c>
      <c r="F1129" s="1011">
        <f>ปร.4_2!K76</f>
        <v>0</v>
      </c>
      <c r="G1129" s="1275" t="s">
        <v>242</v>
      </c>
      <c r="H1129" s="1011">
        <f>J1354</f>
        <v>23.68</v>
      </c>
      <c r="I1129" s="1012" t="s">
        <v>238</v>
      </c>
      <c r="J1129" s="1016" t="s">
        <v>190</v>
      </c>
      <c r="K1129" s="1011">
        <f t="shared" si="66"/>
        <v>0</v>
      </c>
      <c r="L1129" s="1012" t="s">
        <v>238</v>
      </c>
      <c r="M1129" s="667" t="s">
        <v>446</v>
      </c>
    </row>
    <row r="1130" spans="2:13" hidden="1">
      <c r="B1130" s="1011"/>
      <c r="C1130" s="843" t="s">
        <v>1358</v>
      </c>
      <c r="D1130" s="837"/>
      <c r="E1130" s="1016" t="s">
        <v>190</v>
      </c>
      <c r="F1130" s="1011">
        <f>ปร.4_2!K77</f>
        <v>0</v>
      </c>
      <c r="G1130" s="1275" t="s">
        <v>242</v>
      </c>
      <c r="H1130" s="1011">
        <f>J1402</f>
        <v>14.96</v>
      </c>
      <c r="I1130" s="1012" t="s">
        <v>238</v>
      </c>
      <c r="J1130" s="1016" t="s">
        <v>190</v>
      </c>
      <c r="K1130" s="1011">
        <f t="shared" si="66"/>
        <v>0</v>
      </c>
      <c r="L1130" s="1012" t="s">
        <v>238</v>
      </c>
      <c r="M1130" s="667" t="s">
        <v>447</v>
      </c>
    </row>
    <row r="1131" spans="2:13" hidden="1">
      <c r="B1131" s="1011"/>
      <c r="C1131" s="843" t="s">
        <v>1359</v>
      </c>
      <c r="D1131" s="837"/>
      <c r="E1131" s="1016" t="s">
        <v>190</v>
      </c>
      <c r="F1131" s="1011">
        <f>ปร.4_2!K78</f>
        <v>0</v>
      </c>
      <c r="G1131" s="1275" t="s">
        <v>242</v>
      </c>
      <c r="H1131" s="1011">
        <f>J1410</f>
        <v>14.76</v>
      </c>
      <c r="I1131" s="1012" t="s">
        <v>238</v>
      </c>
      <c r="J1131" s="1016" t="s">
        <v>190</v>
      </c>
      <c r="K1131" s="1011">
        <f t="shared" si="66"/>
        <v>0</v>
      </c>
      <c r="L1131" s="1012" t="s">
        <v>238</v>
      </c>
      <c r="M1131" s="667" t="s">
        <v>380</v>
      </c>
    </row>
    <row r="1132" spans="2:13" hidden="1">
      <c r="B1132" s="1011"/>
      <c r="C1132" s="843" t="s">
        <v>1360</v>
      </c>
      <c r="D1132" s="837"/>
      <c r="E1132" s="1016" t="s">
        <v>190</v>
      </c>
      <c r="F1132" s="1011">
        <f>ปร.4_2!K79</f>
        <v>0</v>
      </c>
      <c r="G1132" s="1275" t="s">
        <v>242</v>
      </c>
      <c r="H1132" s="1011">
        <f>J1418</f>
        <v>14.76</v>
      </c>
      <c r="I1132" s="1012" t="s">
        <v>238</v>
      </c>
      <c r="J1132" s="1016" t="s">
        <v>190</v>
      </c>
      <c r="K1132" s="1011">
        <f t="shared" si="66"/>
        <v>0</v>
      </c>
      <c r="L1132" s="1012" t="s">
        <v>238</v>
      </c>
      <c r="M1132" s="667" t="s">
        <v>960</v>
      </c>
    </row>
    <row r="1133" spans="2:13" hidden="1">
      <c r="B1133" s="1011"/>
      <c r="C1133" s="843" t="s">
        <v>1361</v>
      </c>
      <c r="D1133" s="837"/>
      <c r="E1133" s="1016" t="s">
        <v>190</v>
      </c>
      <c r="F1133" s="1011">
        <f>ปร.4_2!K80</f>
        <v>0</v>
      </c>
      <c r="G1133" s="1275" t="s">
        <v>242</v>
      </c>
      <c r="H1133" s="1011">
        <f>J1426</f>
        <v>14.76</v>
      </c>
      <c r="I1133" s="1012" t="s">
        <v>238</v>
      </c>
      <c r="J1133" s="1016" t="s">
        <v>190</v>
      </c>
      <c r="K1133" s="1011">
        <f t="shared" si="66"/>
        <v>0</v>
      </c>
      <c r="L1133" s="1012" t="s">
        <v>238</v>
      </c>
      <c r="M1133" s="667" t="s">
        <v>964</v>
      </c>
    </row>
    <row r="1134" spans="2:13" hidden="1">
      <c r="B1134" s="1011"/>
      <c r="C1134" s="843" t="s">
        <v>710</v>
      </c>
      <c r="D1134" s="837"/>
      <c r="E1134" s="1016" t="s">
        <v>190</v>
      </c>
      <c r="F1134" s="1011">
        <f>ปร.4_2!K81</f>
        <v>0</v>
      </c>
      <c r="G1134" s="1275" t="s">
        <v>242</v>
      </c>
      <c r="H1134" s="1097">
        <f>ROUNDDOWN(IF(F1134=0,0,IF(F1134/1000&gt;100,2900/1000,3300/1000)),2)</f>
        <v>0</v>
      </c>
      <c r="I1134" s="1012" t="s">
        <v>238</v>
      </c>
      <c r="J1134" s="1016" t="s">
        <v>190</v>
      </c>
      <c r="K1134" s="1011">
        <f t="shared" si="66"/>
        <v>0</v>
      </c>
      <c r="L1134" s="1012" t="s">
        <v>238</v>
      </c>
      <c r="M1134" s="667" t="s">
        <v>2024</v>
      </c>
    </row>
    <row r="1135" spans="2:13" hidden="1">
      <c r="B1135" s="1011"/>
      <c r="C1135" s="843" t="s">
        <v>711</v>
      </c>
      <c r="D1135" s="837"/>
      <c r="E1135" s="1016" t="s">
        <v>190</v>
      </c>
      <c r="F1135" s="1011">
        <f>ปร.4_2!K82</f>
        <v>0</v>
      </c>
      <c r="G1135" s="1275" t="s">
        <v>242</v>
      </c>
      <c r="H1135" s="1011">
        <f>ข้อมูลแหล่งราคาวัสดุ!D54</f>
        <v>19.739999999999998</v>
      </c>
      <c r="I1135" s="1012" t="s">
        <v>238</v>
      </c>
      <c r="J1135" s="1016" t="s">
        <v>190</v>
      </c>
      <c r="K1135" s="1011">
        <f t="shared" si="66"/>
        <v>0</v>
      </c>
      <c r="L1135" s="1012" t="s">
        <v>238</v>
      </c>
      <c r="M1135" s="667" t="s">
        <v>2025</v>
      </c>
    </row>
    <row r="1136" spans="2:13" hidden="1">
      <c r="B1136" s="1300" t="s">
        <v>2011</v>
      </c>
      <c r="C1136" s="1301" t="s">
        <v>1365</v>
      </c>
      <c r="D1136" s="837"/>
      <c r="E1136" s="1016" t="s">
        <v>190</v>
      </c>
      <c r="F1136" s="1011">
        <f>ปร.4_2!K83</f>
        <v>0</v>
      </c>
      <c r="G1136" s="1275" t="s">
        <v>245</v>
      </c>
      <c r="H1136" s="1011">
        <v>45</v>
      </c>
      <c r="I1136" s="1012" t="s">
        <v>238</v>
      </c>
      <c r="J1136" s="1016" t="s">
        <v>190</v>
      </c>
      <c r="K1136" s="1011">
        <f t="shared" si="66"/>
        <v>0</v>
      </c>
      <c r="L1136" s="1012" t="s">
        <v>238</v>
      </c>
      <c r="M1136" s="667" t="s">
        <v>2026</v>
      </c>
    </row>
    <row r="1137" spans="2:14" hidden="1">
      <c r="B1137" s="1300" t="s">
        <v>2012</v>
      </c>
      <c r="C1137" s="1301" t="s">
        <v>2013</v>
      </c>
      <c r="D1137" s="837"/>
      <c r="E1137" s="1016" t="s">
        <v>190</v>
      </c>
      <c r="F1137" s="1011">
        <f>[21]ปร.4_2!K84</f>
        <v>0</v>
      </c>
      <c r="G1137" s="1275" t="s">
        <v>251</v>
      </c>
      <c r="H1137" s="1011">
        <f>H66</f>
        <v>264.93</v>
      </c>
      <c r="I1137" s="1012" t="s">
        <v>238</v>
      </c>
      <c r="J1137" s="1016" t="s">
        <v>190</v>
      </c>
      <c r="K1137" s="1011">
        <f>F1137*H1137</f>
        <v>0</v>
      </c>
      <c r="L1137" s="1012" t="s">
        <v>238</v>
      </c>
      <c r="M1137" s="667" t="s">
        <v>2023</v>
      </c>
    </row>
    <row r="1138" spans="2:14" ht="24" hidden="1">
      <c r="B1138" s="1300"/>
      <c r="C1138" s="1301"/>
      <c r="D1138" s="837"/>
      <c r="E1138" s="1016"/>
      <c r="F1138" s="1011"/>
      <c r="G1138" s="1275"/>
      <c r="H1138" s="1011"/>
      <c r="I1138" s="1012" t="s">
        <v>1379</v>
      </c>
      <c r="J1138" s="1016" t="s">
        <v>190</v>
      </c>
      <c r="K1138" s="1455">
        <f>SUM(K1117:K1137)</f>
        <v>0</v>
      </c>
      <c r="L1138" s="1012" t="s">
        <v>238</v>
      </c>
      <c r="M1138" s="667" t="s">
        <v>2019</v>
      </c>
    </row>
    <row r="1139" spans="2:14" hidden="1">
      <c r="B1139" s="1300"/>
      <c r="C1139" s="1301" t="s">
        <v>2018</v>
      </c>
      <c r="D1139" s="837"/>
      <c r="E1139" s="1016" t="s">
        <v>190</v>
      </c>
      <c r="F1139" s="1011">
        <f>K1138</f>
        <v>0</v>
      </c>
      <c r="G1139" s="1016" t="s">
        <v>241</v>
      </c>
      <c r="H1139" s="1011" t="str">
        <f>G1116</f>
        <v>0.00</v>
      </c>
      <c r="I1139" s="1012"/>
      <c r="J1139" s="1016" t="s">
        <v>190</v>
      </c>
      <c r="K1139" s="1011" t="e">
        <f>F1139/H1139</f>
        <v>#DIV/0!</v>
      </c>
      <c r="L1139" s="1012" t="s">
        <v>593</v>
      </c>
      <c r="M1139" s="667"/>
    </row>
    <row r="1140" spans="2:14" hidden="1">
      <c r="B1140" s="1300"/>
      <c r="C1140" s="1301"/>
      <c r="D1140" s="837"/>
      <c r="E1140" s="1016"/>
      <c r="F1140" s="1011"/>
      <c r="G1140" s="1275"/>
      <c r="H1140" s="1011"/>
      <c r="I1140" s="1038" t="s">
        <v>2020</v>
      </c>
      <c r="J1140" s="1016" t="s">
        <v>190</v>
      </c>
      <c r="K1140" s="1011" t="e">
        <f>ROUNDDOWN(K1139,-2)</f>
        <v>#DIV/0!</v>
      </c>
      <c r="L1140" s="1012" t="s">
        <v>593</v>
      </c>
      <c r="M1140" s="667"/>
    </row>
    <row r="1141" spans="2:14" hidden="1">
      <c r="B1141" s="1300"/>
      <c r="C1141" s="1301"/>
      <c r="D1141" s="837"/>
      <c r="E1141" s="1016"/>
      <c r="F1141" s="1011"/>
      <c r="G1141" s="1275"/>
      <c r="H1141" s="1011"/>
      <c r="I1141" s="1012"/>
      <c r="J1141" s="1016"/>
      <c r="K1141" s="1011"/>
      <c r="L1141" s="1012"/>
      <c r="M1141" s="667"/>
    </row>
    <row r="1142" spans="2:14" hidden="1">
      <c r="B1142" s="1292">
        <v>2.2000000000000002</v>
      </c>
      <c r="C1142" s="1031" t="s">
        <v>1368</v>
      </c>
      <c r="D1142" s="837"/>
      <c r="E1142" s="976"/>
      <c r="F1142" s="976"/>
      <c r="G1142" s="976"/>
      <c r="H1142" s="976"/>
      <c r="I1142" s="976"/>
      <c r="J1142" s="976"/>
      <c r="K1142" s="976"/>
    </row>
    <row r="1143" spans="2:14" hidden="1">
      <c r="B1143" s="1300" t="s">
        <v>47</v>
      </c>
      <c r="C1143" s="976" t="s">
        <v>1369</v>
      </c>
      <c r="D1143" s="976"/>
      <c r="E1143" s="976"/>
      <c r="F1143" s="976"/>
      <c r="G1143" s="976"/>
      <c r="H1143" s="1037" t="s">
        <v>1149</v>
      </c>
      <c r="I1143" s="1041">
        <v>1</v>
      </c>
      <c r="J1143" s="976" t="s">
        <v>17</v>
      </c>
      <c r="K1143" s="976"/>
    </row>
    <row r="1144" spans="2:14" hidden="1">
      <c r="B1144" s="1300"/>
      <c r="C1144" s="843" t="s">
        <v>1370</v>
      </c>
      <c r="D1144" s="837"/>
      <c r="E1144" s="1016" t="s">
        <v>190</v>
      </c>
      <c r="F1144" s="1011">
        <v>15</v>
      </c>
      <c r="G1144" s="1275" t="s">
        <v>251</v>
      </c>
      <c r="H1144" s="1011">
        <f>H66</f>
        <v>264.93</v>
      </c>
      <c r="I1144" s="1012" t="s">
        <v>238</v>
      </c>
      <c r="J1144" s="1016" t="s">
        <v>190</v>
      </c>
      <c r="K1144" s="1011">
        <f>F1144*H1144</f>
        <v>3973.9500000000003</v>
      </c>
      <c r="L1144" s="1012" t="s">
        <v>238</v>
      </c>
      <c r="M1144" s="667" t="s">
        <v>193</v>
      </c>
    </row>
    <row r="1145" spans="2:14" hidden="1">
      <c r="B1145" s="1300"/>
      <c r="C1145" s="843" t="s">
        <v>1371</v>
      </c>
      <c r="D1145" s="837"/>
      <c r="E1145" s="1016" t="s">
        <v>190</v>
      </c>
      <c r="F1145" s="1011">
        <v>1</v>
      </c>
      <c r="G1145" s="1275" t="s">
        <v>251</v>
      </c>
      <c r="H1145" s="1016" t="s">
        <v>1374</v>
      </c>
      <c r="I1145" s="1012" t="s">
        <v>238</v>
      </c>
      <c r="J1145" s="1016" t="s">
        <v>190</v>
      </c>
      <c r="K1145" s="1011">
        <v>0</v>
      </c>
      <c r="L1145" s="1012" t="s">
        <v>238</v>
      </c>
      <c r="M1145" s="667" t="s">
        <v>234</v>
      </c>
    </row>
    <row r="1146" spans="2:14" hidden="1">
      <c r="B1146" s="1300"/>
      <c r="C1146" s="843" t="s">
        <v>143</v>
      </c>
      <c r="D1146" s="837"/>
      <c r="E1146" s="1016" t="s">
        <v>190</v>
      </c>
      <c r="F1146" s="1011">
        <v>0.65</v>
      </c>
      <c r="G1146" s="1275" t="s">
        <v>251</v>
      </c>
      <c r="H1146" s="1016" t="s">
        <v>1374</v>
      </c>
      <c r="I1146" s="1012" t="s">
        <v>238</v>
      </c>
      <c r="J1146" s="1016" t="s">
        <v>190</v>
      </c>
      <c r="K1146" s="1011">
        <v>0</v>
      </c>
      <c r="L1146" s="1012" t="s">
        <v>238</v>
      </c>
      <c r="M1146" s="667" t="s">
        <v>239</v>
      </c>
    </row>
    <row r="1147" spans="2:14" hidden="1">
      <c r="B1147" s="1300"/>
      <c r="C1147" s="843" t="s">
        <v>1372</v>
      </c>
      <c r="D1147" s="837"/>
      <c r="E1147" s="1016" t="s">
        <v>190</v>
      </c>
      <c r="F1147" s="1011">
        <v>4</v>
      </c>
      <c r="G1147" s="1275" t="s">
        <v>255</v>
      </c>
      <c r="H1147" s="1016" t="s">
        <v>1374</v>
      </c>
      <c r="I1147" s="1012" t="s">
        <v>238</v>
      </c>
      <c r="J1147" s="1016" t="s">
        <v>190</v>
      </c>
      <c r="K1147" s="1011">
        <v>0</v>
      </c>
      <c r="L1147" s="1012" t="s">
        <v>238</v>
      </c>
      <c r="M1147" s="667" t="s">
        <v>244</v>
      </c>
    </row>
    <row r="1148" spans="2:14" hidden="1">
      <c r="B1148" s="1300"/>
      <c r="C1148" s="843" t="s">
        <v>1373</v>
      </c>
      <c r="D1148" s="837"/>
      <c r="E1148" s="1016" t="s">
        <v>190</v>
      </c>
      <c r="F1148" s="1011">
        <v>4</v>
      </c>
      <c r="G1148" s="1275" t="s">
        <v>255</v>
      </c>
      <c r="H1148" s="1016" t="s">
        <v>1374</v>
      </c>
      <c r="I1148" s="1012" t="s">
        <v>238</v>
      </c>
      <c r="J1148" s="1016" t="s">
        <v>190</v>
      </c>
      <c r="K1148" s="1011">
        <v>0</v>
      </c>
      <c r="L1148" s="1012" t="s">
        <v>238</v>
      </c>
      <c r="M1148" s="667" t="s">
        <v>236</v>
      </c>
    </row>
    <row r="1149" spans="2:14" hidden="1">
      <c r="B1149" s="1300"/>
      <c r="C1149" s="1301"/>
      <c r="D1149" s="837"/>
      <c r="E1149" s="1016"/>
      <c r="F1149" s="1011"/>
      <c r="G1149" s="1275"/>
      <c r="H1149" s="1011"/>
      <c r="I1149" s="1038" t="s">
        <v>1379</v>
      </c>
      <c r="J1149" s="1016" t="s">
        <v>190</v>
      </c>
      <c r="K1149" s="1067">
        <f>SUM(K1144:K1148)</f>
        <v>3973.9500000000003</v>
      </c>
      <c r="L1149" s="1012" t="s">
        <v>1377</v>
      </c>
      <c r="M1149" s="667"/>
    </row>
    <row r="1150" spans="2:14" ht="22.5" hidden="1" thickBot="1">
      <c r="B1150" s="1300"/>
      <c r="C1150" s="1301"/>
      <c r="D1150" s="837"/>
      <c r="E1150" s="1016"/>
      <c r="F1150" s="1011"/>
      <c r="G1150" s="1275"/>
      <c r="H1150" s="1011"/>
      <c r="I1150" s="1038" t="s">
        <v>1380</v>
      </c>
      <c r="J1150" s="1016" t="s">
        <v>190</v>
      </c>
      <c r="K1150" s="1025">
        <f>ROUNDDOWN(K1149,-2)</f>
        <v>3900</v>
      </c>
      <c r="L1150" s="1012" t="s">
        <v>593</v>
      </c>
      <c r="M1150" s="667"/>
      <c r="N1150" s="667" t="s">
        <v>1378</v>
      </c>
    </row>
    <row r="1151" spans="2:14" ht="22.5" hidden="1" thickTop="1">
      <c r="B1151" s="1300"/>
      <c r="C1151" s="1301"/>
      <c r="D1151" s="837"/>
      <c r="E1151" s="1016"/>
      <c r="F1151" s="1011"/>
      <c r="G1151" s="1275"/>
      <c r="H1151" s="1011"/>
      <c r="I1151" s="1012"/>
      <c r="J1151" s="1016"/>
      <c r="K1151" s="1011"/>
      <c r="L1151" s="1012"/>
      <c r="M1151" s="667"/>
    </row>
    <row r="1152" spans="2:14" hidden="1">
      <c r="B1152" s="1300" t="s">
        <v>641</v>
      </c>
      <c r="C1152" s="1301" t="s">
        <v>1375</v>
      </c>
      <c r="D1152" s="837"/>
      <c r="E1152" s="976"/>
      <c r="F1152" s="976"/>
      <c r="G1152" s="976"/>
      <c r="H1152" s="976"/>
      <c r="I1152" s="976"/>
      <c r="J1152" s="976"/>
      <c r="K1152" s="976"/>
    </row>
    <row r="1153" spans="1:13" hidden="1">
      <c r="B1153" s="1300"/>
      <c r="C1153" s="1301" t="s">
        <v>1376</v>
      </c>
      <c r="D1153" s="837"/>
      <c r="E1153" s="1016" t="s">
        <v>190</v>
      </c>
      <c r="F1153" s="1011">
        <f>ปร.4_2!K87</f>
        <v>0</v>
      </c>
      <c r="G1153" s="1275" t="s">
        <v>616</v>
      </c>
      <c r="H1153" s="1011">
        <f>ROUNDDOWN(J583*0.5,0)</f>
        <v>2156</v>
      </c>
      <c r="I1153" s="1012" t="s">
        <v>238</v>
      </c>
      <c r="J1153" s="1016" t="s">
        <v>190</v>
      </c>
      <c r="K1153" s="1011">
        <f>F1153*H1153</f>
        <v>0</v>
      </c>
      <c r="L1153" s="1012" t="s">
        <v>238</v>
      </c>
      <c r="M1153" s="667"/>
    </row>
    <row r="1154" spans="1:13" hidden="1">
      <c r="B1154" s="1300"/>
      <c r="C1154" s="1301"/>
      <c r="D1154" s="837"/>
      <c r="E1154" s="1016"/>
      <c r="F1154" s="1011"/>
      <c r="G1154" s="1275"/>
      <c r="H1154" s="1011"/>
      <c r="I1154" s="1012"/>
      <c r="J1154" s="1016"/>
      <c r="K1154" s="1011"/>
      <c r="L1154" s="1012"/>
      <c r="M1154" s="667"/>
    </row>
    <row r="1155" spans="1:13" hidden="1">
      <c r="B1155" s="1297" t="s">
        <v>269</v>
      </c>
      <c r="C1155" s="1297"/>
    </row>
    <row r="1156" spans="1:13" hidden="1">
      <c r="A1156" s="666">
        <v>1</v>
      </c>
      <c r="B1156" s="1297" t="s">
        <v>270</v>
      </c>
      <c r="C1156" s="1012"/>
    </row>
    <row r="1157" spans="1:13" hidden="1">
      <c r="A1157" s="667"/>
      <c r="B1157" s="1012" t="s">
        <v>271</v>
      </c>
      <c r="C1157" s="1012"/>
    </row>
    <row r="1158" spans="1:13" hidden="1">
      <c r="A1158" s="667"/>
      <c r="B1158" s="1302" t="s">
        <v>272</v>
      </c>
    </row>
    <row r="1159" spans="1:13" hidden="1">
      <c r="A1159" s="667"/>
      <c r="B1159" s="1302" t="s">
        <v>455</v>
      </c>
      <c r="C1159" s="1012"/>
      <c r="D1159" s="837"/>
    </row>
    <row r="1160" spans="1:13" hidden="1">
      <c r="C1160" s="1012"/>
      <c r="D1160" s="837"/>
      <c r="E1160" s="1012"/>
      <c r="F1160" s="1012"/>
      <c r="G1160" s="1012"/>
      <c r="H1160" s="1012"/>
      <c r="I1160" s="1012"/>
      <c r="J1160" s="1012"/>
      <c r="K1160" s="1012"/>
      <c r="L1160" s="807"/>
      <c r="M1160" s="667"/>
    </row>
    <row r="1161" spans="1:13" hidden="1">
      <c r="B1161" s="1297" t="s">
        <v>187</v>
      </c>
      <c r="C1161" s="1012"/>
      <c r="D1161" s="837"/>
      <c r="E1161" s="1012"/>
      <c r="F1161" s="1012"/>
      <c r="G1161" s="807"/>
      <c r="H1161" s="807"/>
    </row>
    <row r="1162" spans="1:13" hidden="1">
      <c r="B1162" s="1012" t="s">
        <v>129</v>
      </c>
      <c r="C1162" s="1012"/>
      <c r="D1162" s="837"/>
      <c r="E1162" s="1012"/>
      <c r="F1162" s="1012"/>
      <c r="I1162" s="807" t="s">
        <v>190</v>
      </c>
      <c r="J1162" s="1012">
        <f>ข้อมูลแหล่งราคาวัสดุ!D71</f>
        <v>2816.2</v>
      </c>
      <c r="K1162" s="807" t="s">
        <v>182</v>
      </c>
      <c r="L1162" s="675" t="s">
        <v>193</v>
      </c>
      <c r="M1162" s="667"/>
    </row>
    <row r="1163" spans="1:13" hidden="1">
      <c r="B1163" s="1012" t="s">
        <v>136</v>
      </c>
      <c r="C1163" s="1012"/>
      <c r="D1163" s="837"/>
      <c r="E1163" s="1012"/>
      <c r="F1163" s="1012"/>
      <c r="G1163" s="1012">
        <f>ข้อมูลแหล่งราคาวัสดุ!E71</f>
        <v>20</v>
      </c>
      <c r="H1163" s="807" t="s">
        <v>181</v>
      </c>
      <c r="I1163" s="807" t="s">
        <v>190</v>
      </c>
      <c r="J1163" s="1012">
        <f>ข้อมูลแหล่งราคาวัสดุ!I71</f>
        <v>27.61</v>
      </c>
      <c r="K1163" s="807" t="s">
        <v>182</v>
      </c>
      <c r="L1163" s="675" t="s">
        <v>234</v>
      </c>
      <c r="M1163" s="667" t="s">
        <v>235</v>
      </c>
    </row>
    <row r="1164" spans="1:13" hidden="1">
      <c r="B1164" s="1012" t="s">
        <v>273</v>
      </c>
      <c r="C1164" s="1012"/>
      <c r="D1164" s="837"/>
      <c r="E1164" s="1012"/>
      <c r="F1164" s="1012"/>
      <c r="G1164" s="1012"/>
      <c r="H1164" s="807"/>
      <c r="I1164" s="807" t="s">
        <v>190</v>
      </c>
      <c r="J1164" s="1012">
        <v>50</v>
      </c>
      <c r="K1164" s="807" t="s">
        <v>182</v>
      </c>
      <c r="L1164" s="675" t="s">
        <v>239</v>
      </c>
      <c r="M1164" s="667"/>
    </row>
    <row r="1165" spans="1:13" hidden="1">
      <c r="B1165" s="1012" t="s">
        <v>26</v>
      </c>
      <c r="C1165" s="1012"/>
      <c r="D1165" s="837"/>
      <c r="E1165" s="1012"/>
      <c r="F1165" s="1012"/>
      <c r="G1165" s="1016"/>
      <c r="H1165" s="807"/>
      <c r="I1165" s="807" t="s">
        <v>190</v>
      </c>
      <c r="J1165" s="1012">
        <f>SUM(J1162:J1164)</f>
        <v>2893.81</v>
      </c>
      <c r="K1165" s="807" t="s">
        <v>182</v>
      </c>
      <c r="L1165" s="675" t="s">
        <v>216</v>
      </c>
      <c r="M1165" s="667"/>
    </row>
    <row r="1166" spans="1:13" hidden="1">
      <c r="B1166" s="1012" t="s">
        <v>266</v>
      </c>
      <c r="C1166" s="1303"/>
      <c r="D1166" s="845"/>
      <c r="E1166" s="1012"/>
      <c r="F1166" s="1012"/>
      <c r="G1166" s="1016"/>
      <c r="H1166" s="807"/>
      <c r="I1166" s="807" t="s">
        <v>190</v>
      </c>
      <c r="J1166" s="1012">
        <f>J1165</f>
        <v>2893.81</v>
      </c>
      <c r="K1166" s="807" t="s">
        <v>182</v>
      </c>
      <c r="L1166" s="675" t="s">
        <v>274</v>
      </c>
      <c r="M1166" s="667"/>
    </row>
    <row r="1167" spans="1:13" hidden="1">
      <c r="B1167" s="1297"/>
      <c r="C1167" s="667"/>
      <c r="D1167" s="837"/>
      <c r="E1167" s="807"/>
      <c r="F1167" s="1304"/>
      <c r="G1167" s="1012"/>
      <c r="H1167" s="1012"/>
      <c r="I1167" s="1012"/>
      <c r="J1167" s="1012"/>
      <c r="K1167" s="1012"/>
      <c r="L1167" s="675"/>
      <c r="M1167" s="667"/>
    </row>
    <row r="1168" spans="1:13" hidden="1">
      <c r="B1168" s="1297" t="s">
        <v>275</v>
      </c>
      <c r="C1168" s="667"/>
      <c r="D1168" s="837"/>
      <c r="E1168" s="667"/>
      <c r="F1168" s="667"/>
      <c r="G1168" s="1016"/>
      <c r="H1168" s="1012"/>
      <c r="I1168" s="1012"/>
      <c r="J1168" s="1012"/>
      <c r="K1168" s="1012"/>
      <c r="L1168" s="675"/>
      <c r="M1168" s="667"/>
    </row>
    <row r="1169" spans="2:14" hidden="1">
      <c r="B1169" s="1012" t="s">
        <v>129</v>
      </c>
      <c r="C1169" s="1012"/>
      <c r="D1169" s="837"/>
      <c r="E1169" s="667"/>
      <c r="F1169" s="667"/>
      <c r="G1169" s="1016"/>
      <c r="H1169" s="807"/>
      <c r="I1169" s="807" t="s">
        <v>190</v>
      </c>
      <c r="J1169" s="1012">
        <f>ข้อมูลแหล่งราคาวัสดุ!D13</f>
        <v>373.83</v>
      </c>
      <c r="K1169" s="807" t="s">
        <v>183</v>
      </c>
      <c r="L1169" s="675" t="s">
        <v>193</v>
      </c>
      <c r="M1169" s="667"/>
    </row>
    <row r="1170" spans="2:14" hidden="1">
      <c r="B1170" s="1012" t="s">
        <v>136</v>
      </c>
      <c r="C1170" s="1012"/>
      <c r="D1170" s="837"/>
      <c r="E1170" s="1012"/>
      <c r="F1170" s="1012"/>
      <c r="G1170" s="1012">
        <f>ข้อมูลแหล่งราคาวัสดุ!E13</f>
        <v>20</v>
      </c>
      <c r="H1170" s="807" t="s">
        <v>181</v>
      </c>
      <c r="I1170" s="807" t="s">
        <v>190</v>
      </c>
      <c r="J1170" s="1012">
        <f>ข้อมูลแหล่งราคาวัสดุ!I13</f>
        <v>63.44</v>
      </c>
      <c r="K1170" s="807" t="s">
        <v>183</v>
      </c>
      <c r="L1170" s="675" t="s">
        <v>234</v>
      </c>
      <c r="M1170" s="667" t="s">
        <v>235</v>
      </c>
    </row>
    <row r="1171" spans="2:14" hidden="1">
      <c r="B1171" s="1012" t="s">
        <v>26</v>
      </c>
      <c r="C1171" s="1012"/>
      <c r="D1171" s="837"/>
      <c r="E1171" s="1012"/>
      <c r="F1171" s="1012"/>
      <c r="G1171" s="1016"/>
      <c r="H1171" s="807"/>
      <c r="I1171" s="807" t="s">
        <v>190</v>
      </c>
      <c r="J1171" s="1012">
        <f>SUM(J1169:J1170)</f>
        <v>437.27</v>
      </c>
      <c r="K1171" s="807" t="s">
        <v>183</v>
      </c>
      <c r="L1171" s="675" t="s">
        <v>202</v>
      </c>
      <c r="M1171" s="667"/>
    </row>
    <row r="1172" spans="2:14" hidden="1">
      <c r="B1172" s="1012" t="s">
        <v>266</v>
      </c>
      <c r="C1172" s="1012"/>
      <c r="D1172" s="837"/>
      <c r="E1172" s="1012"/>
      <c r="F1172" s="1012"/>
      <c r="G1172" s="1016"/>
      <c r="H1172" s="807"/>
      <c r="I1172" s="807" t="s">
        <v>190</v>
      </c>
      <c r="J1172" s="1012">
        <f>J1171</f>
        <v>437.27</v>
      </c>
      <c r="K1172" s="807" t="s">
        <v>183</v>
      </c>
      <c r="L1172" s="675" t="s">
        <v>276</v>
      </c>
      <c r="M1172" s="667"/>
    </row>
    <row r="1173" spans="2:14" hidden="1">
      <c r="B1173" s="1012"/>
      <c r="C1173" s="1303"/>
      <c r="D1173" s="845"/>
      <c r="E1173" s="1012"/>
      <c r="F1173" s="1012"/>
      <c r="G1173" s="1012"/>
      <c r="H1173" s="1012"/>
      <c r="I1173" s="1012"/>
      <c r="J1173" s="1012"/>
      <c r="K1173" s="1012"/>
      <c r="L1173" s="675"/>
      <c r="M1173" s="667"/>
    </row>
    <row r="1174" spans="2:14" hidden="1">
      <c r="B1174" s="1297" t="s">
        <v>174</v>
      </c>
      <c r="C1174" s="1012"/>
      <c r="D1174" s="837"/>
      <c r="E1174" s="1012"/>
      <c r="F1174" s="1012"/>
      <c r="G1174" s="1016"/>
      <c r="H1174" s="1012"/>
      <c r="I1174" s="1012"/>
      <c r="J1174" s="1012"/>
      <c r="K1174" s="1012"/>
      <c r="L1174" s="675"/>
      <c r="M1174" s="667"/>
    </row>
    <row r="1175" spans="2:14" hidden="1">
      <c r="B1175" s="1012" t="s">
        <v>129</v>
      </c>
      <c r="C1175" s="1012"/>
      <c r="D1175" s="837"/>
      <c r="E1175" s="1012"/>
      <c r="F1175" s="1012"/>
      <c r="G1175" s="1016"/>
      <c r="H1175" s="807"/>
      <c r="I1175" s="807" t="s">
        <v>190</v>
      </c>
      <c r="J1175" s="1012">
        <f>ข้อมูลแหล่งราคาวัสดุ!D25</f>
        <v>380</v>
      </c>
      <c r="K1175" s="807" t="s">
        <v>183</v>
      </c>
      <c r="L1175" s="675" t="s">
        <v>193</v>
      </c>
      <c r="M1175" s="667"/>
    </row>
    <row r="1176" spans="2:14" hidden="1">
      <c r="B1176" s="1012" t="s">
        <v>136</v>
      </c>
      <c r="C1176" s="1012"/>
      <c r="D1176" s="837"/>
      <c r="E1176" s="1012"/>
      <c r="F1176" s="1012"/>
      <c r="G1176" s="1012">
        <f>ข้อมูลแหล่งราคาวัสดุ!E25</f>
        <v>20</v>
      </c>
      <c r="H1176" s="807" t="s">
        <v>181</v>
      </c>
      <c r="I1176" s="807" t="s">
        <v>190</v>
      </c>
      <c r="J1176" s="1012">
        <f>ข้อมูลแหล่งราคาวัสดุ!I25</f>
        <v>63.44</v>
      </c>
      <c r="K1176" s="807" t="s">
        <v>183</v>
      </c>
      <c r="L1176" s="675" t="s">
        <v>234</v>
      </c>
      <c r="M1176" s="667" t="s">
        <v>235</v>
      </c>
    </row>
    <row r="1177" spans="2:14" hidden="1">
      <c r="B1177" s="1012" t="s">
        <v>26</v>
      </c>
      <c r="C1177" s="1012"/>
      <c r="D1177" s="837"/>
      <c r="E1177" s="1012"/>
      <c r="F1177" s="1012"/>
      <c r="G1177" s="807"/>
      <c r="H1177" s="807"/>
      <c r="I1177" s="807" t="s">
        <v>190</v>
      </c>
      <c r="J1177" s="1012">
        <f>SUM(J1175:J1176)</f>
        <v>443.44</v>
      </c>
      <c r="K1177" s="807" t="s">
        <v>183</v>
      </c>
      <c r="L1177" s="675" t="s">
        <v>202</v>
      </c>
      <c r="M1177" s="667"/>
    </row>
    <row r="1178" spans="2:14" hidden="1">
      <c r="B1178" s="1012" t="s">
        <v>266</v>
      </c>
      <c r="C1178" s="1012"/>
      <c r="D1178" s="837"/>
      <c r="E1178" s="1012"/>
      <c r="F1178" s="1012"/>
      <c r="G1178" s="1012"/>
      <c r="H1178" s="1012"/>
      <c r="I1178" s="807" t="s">
        <v>190</v>
      </c>
      <c r="J1178" s="1012">
        <f>J1177</f>
        <v>443.44</v>
      </c>
      <c r="K1178" s="807" t="s">
        <v>183</v>
      </c>
      <c r="L1178" s="675" t="s">
        <v>276</v>
      </c>
      <c r="M1178" s="667"/>
    </row>
    <row r="1179" spans="2:14" hidden="1">
      <c r="B1179" s="1012"/>
      <c r="C1179" s="1012"/>
      <c r="D1179" s="837"/>
      <c r="E1179" s="1012"/>
      <c r="F1179" s="1012"/>
      <c r="G1179" s="1012"/>
      <c r="H1179" s="1012"/>
      <c r="I1179" s="1012"/>
      <c r="J1179" s="1012"/>
      <c r="K1179" s="1012"/>
      <c r="L1179" s="807"/>
      <c r="M1179" s="667"/>
      <c r="N1179" s="667"/>
    </row>
    <row r="1180" spans="2:14" hidden="1">
      <c r="B1180" s="1305" t="s">
        <v>272</v>
      </c>
      <c r="C1180" s="1219"/>
      <c r="D1180" s="972"/>
      <c r="E1180" s="1219"/>
      <c r="F1180" s="1219"/>
      <c r="G1180" s="1219"/>
      <c r="H1180" s="1219"/>
      <c r="I1180" s="1219"/>
      <c r="J1180" s="1219"/>
      <c r="K1180" s="1219"/>
      <c r="L1180" s="738"/>
      <c r="M1180" s="744"/>
      <c r="N1180" s="744"/>
    </row>
    <row r="1181" spans="2:14" hidden="1">
      <c r="B1181" s="1219" t="s">
        <v>486</v>
      </c>
      <c r="C1181" s="1219"/>
      <c r="D1181" s="972"/>
      <c r="E1181" s="1219"/>
      <c r="F1181" s="1306">
        <f>ปร.4_1!K43*ปร.4_1!H43/100</f>
        <v>0</v>
      </c>
      <c r="G1181" s="1219" t="s">
        <v>1260</v>
      </c>
      <c r="H1181" s="1219"/>
      <c r="I1181" s="1219"/>
      <c r="J1181" s="1219"/>
      <c r="K1181" s="1219"/>
      <c r="L1181" s="738"/>
      <c r="M1181" s="744"/>
      <c r="N1181" s="744"/>
    </row>
    <row r="1182" spans="2:14" hidden="1">
      <c r="B1182" s="1219" t="s">
        <v>487</v>
      </c>
      <c r="C1182" s="1219"/>
      <c r="D1182" s="972"/>
      <c r="E1182" s="1219"/>
      <c r="F1182" s="1219"/>
      <c r="G1182" s="1219"/>
      <c r="H1182" s="1219"/>
      <c r="I1182" s="1219"/>
      <c r="J1182" s="1219"/>
      <c r="K1182" s="1219"/>
      <c r="L1182" s="738"/>
      <c r="M1182" s="744"/>
      <c r="N1182" s="744"/>
    </row>
    <row r="1183" spans="2:14" hidden="1">
      <c r="B1183" s="1219" t="s">
        <v>488</v>
      </c>
      <c r="C1183" s="1219"/>
      <c r="D1183" s="972"/>
      <c r="E1183" s="1219"/>
      <c r="F1183" s="1219"/>
      <c r="G1183" s="1219"/>
      <c r="H1183" s="976"/>
      <c r="I1183" s="976"/>
      <c r="J1183" s="1219"/>
      <c r="K1183" s="1219"/>
      <c r="L1183" s="738"/>
      <c r="M1183" s="744"/>
      <c r="N1183" s="744"/>
    </row>
    <row r="1184" spans="2:14" hidden="1">
      <c r="B1184" s="1219" t="s">
        <v>489</v>
      </c>
      <c r="C1184" s="1219"/>
      <c r="D1184" s="972"/>
      <c r="E1184" s="1219"/>
      <c r="F1184" s="1219"/>
      <c r="G1184" s="1219">
        <f>IF(F1181&lt;7000,150000/7000,150000/F1181)</f>
        <v>21.428571428571427</v>
      </c>
      <c r="H1184" s="1219" t="s">
        <v>183</v>
      </c>
      <c r="I1184" s="1219"/>
      <c r="J1184" s="1219"/>
      <c r="K1184" s="1219"/>
      <c r="L1184" s="738"/>
      <c r="M1184" s="744"/>
      <c r="N1184" s="744"/>
    </row>
    <row r="1185" spans="2:15" hidden="1">
      <c r="B1185" s="1219"/>
      <c r="C1185" s="1219"/>
      <c r="D1185" s="972"/>
      <c r="E1185" s="1219"/>
      <c r="F1185" s="1219"/>
      <c r="G1185" s="1219"/>
      <c r="H1185" s="1219"/>
      <c r="I1185" s="1219"/>
      <c r="J1185" s="1219"/>
      <c r="K1185" s="1219"/>
      <c r="L1185" s="738"/>
      <c r="M1185" s="744"/>
      <c r="N1185" s="744"/>
    </row>
    <row r="1186" spans="2:15" hidden="1">
      <c r="B1186" s="1307" t="s">
        <v>1875</v>
      </c>
      <c r="C1186" s="1308"/>
      <c r="D1186" s="745"/>
      <c r="E1186" s="1219"/>
      <c r="F1186" s="1219"/>
      <c r="G1186" s="1219"/>
      <c r="H1186" s="1219"/>
      <c r="I1186" s="1219"/>
      <c r="J1186" s="1219"/>
      <c r="K1186" s="1219"/>
      <c r="L1186" s="738"/>
      <c r="M1186" s="744"/>
      <c r="N1186" s="744"/>
    </row>
    <row r="1187" spans="2:15" hidden="1">
      <c r="B1187" s="1219"/>
      <c r="C1187" s="738"/>
      <c r="D1187" s="745"/>
      <c r="E1187" s="738"/>
      <c r="F1187" s="1309"/>
      <c r="G1187" s="738"/>
      <c r="H1187" s="1219"/>
      <c r="I1187" s="1219"/>
      <c r="J1187" s="1219"/>
      <c r="K1187" s="1219"/>
      <c r="L1187" s="738"/>
      <c r="M1187" s="744"/>
      <c r="N1187" s="744"/>
    </row>
    <row r="1188" spans="2:15" hidden="1">
      <c r="B1188" s="1310" t="s">
        <v>277</v>
      </c>
      <c r="C1188" s="738"/>
      <c r="D1188" s="745"/>
    </row>
    <row r="1189" spans="2:15" hidden="1">
      <c r="B1189" s="1219" t="s">
        <v>278</v>
      </c>
      <c r="C1189" s="738"/>
      <c r="D1189" s="745"/>
      <c r="E1189" s="1000" t="s">
        <v>190</v>
      </c>
      <c r="F1189" s="1219">
        <v>240</v>
      </c>
      <c r="G1189" s="1000" t="s">
        <v>46</v>
      </c>
      <c r="H1189" s="738" t="s">
        <v>279</v>
      </c>
      <c r="I1189" s="1219">
        <f>F1189*1.05</f>
        <v>252</v>
      </c>
      <c r="J1189" s="1000" t="s">
        <v>242</v>
      </c>
      <c r="K1189" s="1000">
        <f>ROUND($J$1166/1000,2)</f>
        <v>2.89</v>
      </c>
      <c r="L1189" s="997" t="s">
        <v>190</v>
      </c>
      <c r="M1189" s="972">
        <f>ROUND(I1189*K1189,2)</f>
        <v>728.28</v>
      </c>
      <c r="N1189" s="997" t="s">
        <v>183</v>
      </c>
      <c r="O1189" s="744" t="s">
        <v>193</v>
      </c>
    </row>
    <row r="1190" spans="2:15" hidden="1">
      <c r="B1190" s="1219" t="s">
        <v>189</v>
      </c>
      <c r="C1190" s="738"/>
      <c r="D1190" s="745"/>
      <c r="E1190" s="1000" t="s">
        <v>190</v>
      </c>
      <c r="F1190" s="1219">
        <v>0.52</v>
      </c>
      <c r="G1190" s="1000" t="s">
        <v>6</v>
      </c>
      <c r="H1190" s="738" t="s">
        <v>280</v>
      </c>
      <c r="I1190" s="1219">
        <f>F1190*1.2</f>
        <v>0.624</v>
      </c>
      <c r="J1190" s="1000" t="s">
        <v>251</v>
      </c>
      <c r="K1190" s="1000">
        <f>$J$1172</f>
        <v>437.27</v>
      </c>
      <c r="L1190" s="997" t="s">
        <v>190</v>
      </c>
      <c r="M1190" s="972">
        <f>ROUND(I1190*K1190,2)</f>
        <v>272.86</v>
      </c>
      <c r="N1190" s="997" t="s">
        <v>183</v>
      </c>
      <c r="O1190" s="744" t="s">
        <v>234</v>
      </c>
    </row>
    <row r="1191" spans="2:15" hidden="1">
      <c r="B1191" s="1219" t="s">
        <v>281</v>
      </c>
      <c r="C1191" s="738"/>
      <c r="D1191" s="745"/>
      <c r="E1191" s="1000" t="s">
        <v>190</v>
      </c>
      <c r="F1191" s="1219">
        <v>0.87</v>
      </c>
      <c r="G1191" s="1000" t="s">
        <v>6</v>
      </c>
      <c r="H1191" s="738" t="s">
        <v>282</v>
      </c>
      <c r="I1191" s="1219">
        <f>F1191*1.15</f>
        <v>1.0004999999999999</v>
      </c>
      <c r="J1191" s="1000" t="s">
        <v>251</v>
      </c>
      <c r="K1191" s="1000">
        <f>$J$1178</f>
        <v>443.44</v>
      </c>
      <c r="L1191" s="997" t="s">
        <v>190</v>
      </c>
      <c r="M1191" s="972">
        <f>ROUND(I1191*K1191,2)</f>
        <v>443.66</v>
      </c>
      <c r="N1191" s="997" t="s">
        <v>183</v>
      </c>
      <c r="O1191" s="744" t="s">
        <v>239</v>
      </c>
    </row>
    <row r="1192" spans="2:15" hidden="1">
      <c r="B1192" s="1219" t="s">
        <v>481</v>
      </c>
      <c r="C1192" s="738"/>
      <c r="D1192" s="745"/>
      <c r="E1192" s="1000" t="s">
        <v>190</v>
      </c>
      <c r="F1192" s="1219"/>
      <c r="H1192" s="738"/>
      <c r="I1192" s="1219">
        <v>1</v>
      </c>
      <c r="J1192" s="1000" t="s">
        <v>251</v>
      </c>
      <c r="K1192" s="1000">
        <f>$G$1184</f>
        <v>21.428571428571427</v>
      </c>
      <c r="L1192" s="997" t="s">
        <v>190</v>
      </c>
      <c r="M1192" s="972">
        <f>ROUND(I1192*K1192,2)</f>
        <v>21.43</v>
      </c>
      <c r="N1192" s="997" t="s">
        <v>183</v>
      </c>
      <c r="O1192" s="744" t="s">
        <v>244</v>
      </c>
    </row>
    <row r="1193" spans="2:15" hidden="1">
      <c r="B1193" s="1219" t="s">
        <v>482</v>
      </c>
      <c r="C1193" s="738"/>
      <c r="D1193" s="745"/>
      <c r="E1193" s="1000" t="s">
        <v>190</v>
      </c>
      <c r="F1193" s="1219"/>
      <c r="H1193" s="744"/>
      <c r="I1193" s="1219">
        <v>1</v>
      </c>
      <c r="J1193" s="1000" t="s">
        <v>251</v>
      </c>
      <c r="K1193" s="1000">
        <f>ค่าดำเนินการ!$H$57</f>
        <v>176.4</v>
      </c>
      <c r="L1193" s="997" t="s">
        <v>190</v>
      </c>
      <c r="M1193" s="972">
        <f>ROUND(I1193*K1193,2)</f>
        <v>176.4</v>
      </c>
      <c r="N1193" s="997" t="s">
        <v>183</v>
      </c>
      <c r="O1193" s="744" t="s">
        <v>206</v>
      </c>
    </row>
    <row r="1194" spans="2:15" hidden="1">
      <c r="B1194" s="1219" t="s">
        <v>483</v>
      </c>
      <c r="C1194" s="738"/>
      <c r="D1194" s="745"/>
      <c r="E1194" s="1000" t="s">
        <v>190</v>
      </c>
      <c r="F1194" s="1219"/>
      <c r="H1194" s="744"/>
      <c r="I1194" s="1219">
        <v>1</v>
      </c>
      <c r="J1194" s="1000" t="s">
        <v>251</v>
      </c>
      <c r="K1194" s="1000">
        <v>306</v>
      </c>
      <c r="L1194" s="997" t="s">
        <v>190</v>
      </c>
      <c r="M1194" s="972">
        <f>ROUND(I1194*K1194,0)</f>
        <v>306</v>
      </c>
      <c r="N1194" s="997" t="s">
        <v>183</v>
      </c>
      <c r="O1194" s="744" t="s">
        <v>283</v>
      </c>
    </row>
    <row r="1195" spans="2:15" hidden="1">
      <c r="B1195" s="1219" t="s">
        <v>26</v>
      </c>
      <c r="C1195" s="1219"/>
      <c r="D1195" s="972"/>
      <c r="E1195" s="1000"/>
      <c r="F1195" s="1219"/>
      <c r="H1195" s="744"/>
      <c r="I1195" s="744"/>
      <c r="J1195" s="1219"/>
      <c r="K1195" s="972"/>
      <c r="L1195" s="997" t="s">
        <v>190</v>
      </c>
      <c r="M1195" s="972">
        <f>ROUND(SUM(M1189:M1194),2)</f>
        <v>1948.63</v>
      </c>
      <c r="N1195" s="997" t="s">
        <v>183</v>
      </c>
      <c r="O1195" s="744" t="s">
        <v>484</v>
      </c>
    </row>
    <row r="1196" spans="2:15" hidden="1">
      <c r="B1196" s="1219" t="s">
        <v>266</v>
      </c>
      <c r="C1196" s="1308"/>
      <c r="D1196" s="745"/>
      <c r="E1196" s="1000"/>
      <c r="F1196" s="1219"/>
      <c r="H1196" s="744"/>
      <c r="I1196" s="744"/>
      <c r="J1196" s="1219"/>
      <c r="K1196" s="972"/>
      <c r="L1196" s="997" t="s">
        <v>190</v>
      </c>
      <c r="M1196" s="972">
        <f>ROUNDDOWN(M1195,0)</f>
        <v>1948</v>
      </c>
      <c r="N1196" s="997" t="s">
        <v>183</v>
      </c>
      <c r="O1196" s="744" t="s">
        <v>485</v>
      </c>
    </row>
    <row r="1197" spans="2:15" hidden="1">
      <c r="B1197" s="1219"/>
      <c r="C1197" s="1219"/>
      <c r="D1197" s="972"/>
      <c r="E1197" s="1000"/>
      <c r="F1197" s="1219"/>
      <c r="H1197" s="744"/>
      <c r="I1197" s="744"/>
      <c r="J1197" s="1219"/>
      <c r="K1197" s="972"/>
      <c r="L1197" s="997"/>
      <c r="M1197" s="972"/>
      <c r="N1197" s="997"/>
      <c r="O1197" s="744"/>
    </row>
    <row r="1198" spans="2:15" hidden="1">
      <c r="B1198" s="1310" t="s">
        <v>284</v>
      </c>
      <c r="C1198" s="738"/>
      <c r="D1198" s="745"/>
      <c r="E1198" s="738"/>
      <c r="F1198" s="1309"/>
      <c r="G1198" s="738"/>
      <c r="H1198" s="1219"/>
      <c r="I1198" s="1219"/>
      <c r="J1198" s="1219"/>
      <c r="K1198" s="1219"/>
      <c r="L1198" s="738"/>
      <c r="M1198" s="744"/>
    </row>
    <row r="1199" spans="2:15" hidden="1">
      <c r="B1199" s="1219" t="s">
        <v>278</v>
      </c>
      <c r="C1199" s="738"/>
      <c r="D1199" s="745"/>
      <c r="E1199" s="1000" t="s">
        <v>190</v>
      </c>
      <c r="F1199" s="1219">
        <v>290</v>
      </c>
      <c r="G1199" s="1000" t="s">
        <v>46</v>
      </c>
      <c r="H1199" s="738" t="s">
        <v>279</v>
      </c>
      <c r="I1199" s="1219">
        <f>F1199*1.05</f>
        <v>304.5</v>
      </c>
      <c r="J1199" s="1000" t="s">
        <v>242</v>
      </c>
      <c r="K1199" s="1000">
        <f>ROUND($J$1166/1000,2)</f>
        <v>2.89</v>
      </c>
      <c r="L1199" s="997" t="s">
        <v>190</v>
      </c>
      <c r="M1199" s="972">
        <f t="shared" ref="M1199:M1204" si="67">ROUND(I1199*K1199,2)</f>
        <v>880.01</v>
      </c>
      <c r="N1199" s="997" t="s">
        <v>183</v>
      </c>
      <c r="O1199" s="744" t="s">
        <v>193</v>
      </c>
    </row>
    <row r="1200" spans="2:15" hidden="1">
      <c r="B1200" s="1219" t="s">
        <v>189</v>
      </c>
      <c r="C1200" s="738"/>
      <c r="D1200" s="745"/>
      <c r="E1200" s="1000" t="s">
        <v>190</v>
      </c>
      <c r="F1200" s="1219">
        <v>0.62</v>
      </c>
      <c r="G1200" s="1000" t="s">
        <v>6</v>
      </c>
      <c r="H1200" s="738" t="s">
        <v>280</v>
      </c>
      <c r="I1200" s="1219">
        <f>F1200*1.2</f>
        <v>0.74399999999999999</v>
      </c>
      <c r="J1200" s="1000" t="s">
        <v>251</v>
      </c>
      <c r="K1200" s="1000">
        <f>$J$1172</f>
        <v>437.27</v>
      </c>
      <c r="L1200" s="997" t="s">
        <v>190</v>
      </c>
      <c r="M1200" s="972">
        <f t="shared" si="67"/>
        <v>325.33</v>
      </c>
      <c r="N1200" s="997" t="s">
        <v>183</v>
      </c>
      <c r="O1200" s="744" t="s">
        <v>234</v>
      </c>
    </row>
    <row r="1201" spans="2:15" hidden="1">
      <c r="B1201" s="1219" t="s">
        <v>281</v>
      </c>
      <c r="C1201" s="738"/>
      <c r="D1201" s="745"/>
      <c r="E1201" s="1000" t="s">
        <v>190</v>
      </c>
      <c r="F1201" s="1219">
        <v>0.72499999999999998</v>
      </c>
      <c r="G1201" s="1000" t="s">
        <v>6</v>
      </c>
      <c r="H1201" s="738" t="s">
        <v>282</v>
      </c>
      <c r="I1201" s="1219">
        <f>F1201*1.15</f>
        <v>0.83374999999999988</v>
      </c>
      <c r="J1201" s="1000" t="s">
        <v>251</v>
      </c>
      <c r="K1201" s="1000">
        <f>$J$1178</f>
        <v>443.44</v>
      </c>
      <c r="L1201" s="997" t="s">
        <v>190</v>
      </c>
      <c r="M1201" s="972">
        <f t="shared" si="67"/>
        <v>369.72</v>
      </c>
      <c r="N1201" s="997" t="s">
        <v>183</v>
      </c>
      <c r="O1201" s="744" t="s">
        <v>239</v>
      </c>
    </row>
    <row r="1202" spans="2:15" hidden="1">
      <c r="B1202" s="1219" t="s">
        <v>481</v>
      </c>
      <c r="C1202" s="738"/>
      <c r="D1202" s="745"/>
      <c r="E1202" s="1000" t="s">
        <v>190</v>
      </c>
      <c r="F1202" s="1219"/>
      <c r="H1202" s="738"/>
      <c r="I1202" s="1219">
        <v>1</v>
      </c>
      <c r="J1202" s="1000" t="s">
        <v>251</v>
      </c>
      <c r="K1202" s="1000">
        <f>$G$1184</f>
        <v>21.428571428571427</v>
      </c>
      <c r="L1202" s="997" t="s">
        <v>190</v>
      </c>
      <c r="M1202" s="972">
        <f t="shared" si="67"/>
        <v>21.43</v>
      </c>
      <c r="N1202" s="997" t="s">
        <v>183</v>
      </c>
      <c r="O1202" s="744" t="s">
        <v>244</v>
      </c>
    </row>
    <row r="1203" spans="2:15" hidden="1">
      <c r="B1203" s="1219" t="s">
        <v>482</v>
      </c>
      <c r="C1203" s="738"/>
      <c r="D1203" s="745"/>
      <c r="E1203" s="1000" t="s">
        <v>190</v>
      </c>
      <c r="F1203" s="1219"/>
      <c r="H1203" s="744"/>
      <c r="I1203" s="1219">
        <v>1</v>
      </c>
      <c r="J1203" s="1000" t="s">
        <v>251</v>
      </c>
      <c r="K1203" s="1000">
        <f>ค่าดำเนินการ!$H$57</f>
        <v>176.4</v>
      </c>
      <c r="L1203" s="997" t="s">
        <v>190</v>
      </c>
      <c r="M1203" s="972">
        <f t="shared" si="67"/>
        <v>176.4</v>
      </c>
      <c r="N1203" s="997" t="s">
        <v>183</v>
      </c>
      <c r="O1203" s="744" t="s">
        <v>206</v>
      </c>
    </row>
    <row r="1204" spans="2:15" hidden="1">
      <c r="B1204" s="1219" t="s">
        <v>483</v>
      </c>
      <c r="C1204" s="738"/>
      <c r="D1204" s="745"/>
      <c r="E1204" s="1000" t="s">
        <v>190</v>
      </c>
      <c r="F1204" s="1219"/>
      <c r="H1204" s="744"/>
      <c r="I1204" s="1219">
        <v>1</v>
      </c>
      <c r="J1204" s="1000" t="s">
        <v>251</v>
      </c>
      <c r="K1204" s="1000">
        <v>391</v>
      </c>
      <c r="L1204" s="997" t="s">
        <v>190</v>
      </c>
      <c r="M1204" s="972">
        <f t="shared" si="67"/>
        <v>391</v>
      </c>
      <c r="N1204" s="997" t="s">
        <v>183</v>
      </c>
      <c r="O1204" s="744" t="s">
        <v>283</v>
      </c>
    </row>
    <row r="1205" spans="2:15" hidden="1">
      <c r="B1205" s="1219" t="s">
        <v>26</v>
      </c>
      <c r="C1205" s="1219"/>
      <c r="D1205" s="972"/>
      <c r="E1205" s="1000"/>
      <c r="F1205" s="1219"/>
      <c r="H1205" s="744"/>
      <c r="I1205" s="744"/>
      <c r="J1205" s="1219"/>
      <c r="K1205" s="972"/>
      <c r="L1205" s="997" t="s">
        <v>190</v>
      </c>
      <c r="M1205" s="972">
        <f>ROUND(SUM(M1199:M1204),2)</f>
        <v>2163.89</v>
      </c>
      <c r="N1205" s="997" t="s">
        <v>183</v>
      </c>
      <c r="O1205" s="744" t="s">
        <v>484</v>
      </c>
    </row>
    <row r="1206" spans="2:15" hidden="1">
      <c r="B1206" s="1219" t="s">
        <v>266</v>
      </c>
      <c r="C1206" s="1308"/>
      <c r="D1206" s="745"/>
      <c r="E1206" s="1000"/>
      <c r="F1206" s="1219"/>
      <c r="H1206" s="744"/>
      <c r="I1206" s="744"/>
      <c r="J1206" s="1219"/>
      <c r="K1206" s="972"/>
      <c r="L1206" s="997" t="s">
        <v>190</v>
      </c>
      <c r="M1206" s="972">
        <f>ROUND(M1205,0)</f>
        <v>2164</v>
      </c>
      <c r="N1206" s="997" t="s">
        <v>183</v>
      </c>
      <c r="O1206" s="744" t="s">
        <v>485</v>
      </c>
    </row>
    <row r="1207" spans="2:15" hidden="1">
      <c r="B1207" s="1219"/>
      <c r="C1207" s="738"/>
      <c r="D1207" s="745"/>
      <c r="E1207" s="1219"/>
      <c r="F1207" s="1219"/>
      <c r="G1207" s="1219"/>
      <c r="H1207" s="1219"/>
      <c r="I1207" s="1219"/>
      <c r="J1207" s="1219"/>
      <c r="K1207" s="1219"/>
      <c r="L1207" s="738"/>
      <c r="M1207" s="744"/>
      <c r="O1207" s="744"/>
    </row>
    <row r="1208" spans="2:15" hidden="1">
      <c r="B1208" s="1310" t="s">
        <v>285</v>
      </c>
      <c r="C1208" s="738"/>
      <c r="D1208" s="745"/>
      <c r="E1208" s="738"/>
      <c r="F1208" s="1309"/>
      <c r="G1208" s="738"/>
      <c r="H1208" s="1219"/>
      <c r="I1208" s="1219"/>
      <c r="J1208" s="1219"/>
      <c r="K1208" s="1219"/>
      <c r="L1208" s="738"/>
      <c r="M1208" s="744"/>
    </row>
    <row r="1209" spans="2:15" hidden="1">
      <c r="B1209" s="1219" t="s">
        <v>278</v>
      </c>
      <c r="C1209" s="738"/>
      <c r="D1209" s="745"/>
      <c r="E1209" s="1000" t="s">
        <v>190</v>
      </c>
      <c r="F1209" s="1219">
        <v>320</v>
      </c>
      <c r="G1209" s="1000" t="s">
        <v>46</v>
      </c>
      <c r="H1209" s="738" t="s">
        <v>279</v>
      </c>
      <c r="I1209" s="1219">
        <f>F1209*1.05</f>
        <v>336</v>
      </c>
      <c r="J1209" s="1000" t="s">
        <v>242</v>
      </c>
      <c r="K1209" s="1000">
        <f>ROUND($J$1166/1000,2)</f>
        <v>2.89</v>
      </c>
      <c r="L1209" s="997" t="s">
        <v>190</v>
      </c>
      <c r="M1209" s="972">
        <f>ROUND(I1209*K1209,2)</f>
        <v>971.04</v>
      </c>
      <c r="N1209" s="997" t="s">
        <v>183</v>
      </c>
      <c r="O1209" s="744" t="s">
        <v>193</v>
      </c>
    </row>
    <row r="1210" spans="2:15" hidden="1">
      <c r="B1210" s="1219" t="s">
        <v>189</v>
      </c>
      <c r="C1210" s="738"/>
      <c r="D1210" s="745"/>
      <c r="E1210" s="1000" t="s">
        <v>190</v>
      </c>
      <c r="F1210" s="1219">
        <v>0.59599999999999997</v>
      </c>
      <c r="G1210" s="1000" t="s">
        <v>6</v>
      </c>
      <c r="H1210" s="738" t="s">
        <v>280</v>
      </c>
      <c r="I1210" s="1219">
        <f>F1210*1.2</f>
        <v>0.71519999999999995</v>
      </c>
      <c r="J1210" s="1000" t="s">
        <v>251</v>
      </c>
      <c r="K1210" s="1000">
        <f>$J$1172</f>
        <v>437.27</v>
      </c>
      <c r="L1210" s="997" t="s">
        <v>190</v>
      </c>
      <c r="M1210" s="972">
        <f>ROUND(I1210*K1210,2)</f>
        <v>312.74</v>
      </c>
      <c r="N1210" s="997" t="s">
        <v>183</v>
      </c>
      <c r="O1210" s="744" t="s">
        <v>234</v>
      </c>
    </row>
    <row r="1211" spans="2:15" hidden="1">
      <c r="B1211" s="1219" t="s">
        <v>281</v>
      </c>
      <c r="C1211" s="738"/>
      <c r="D1211" s="745"/>
      <c r="E1211" s="1000" t="s">
        <v>190</v>
      </c>
      <c r="F1211" s="1219">
        <v>0.76400000000000001</v>
      </c>
      <c r="G1211" s="1000" t="s">
        <v>6</v>
      </c>
      <c r="H1211" s="738" t="s">
        <v>282</v>
      </c>
      <c r="I1211" s="1219">
        <f>F1211*1.15</f>
        <v>0.87859999999999994</v>
      </c>
      <c r="J1211" s="1000" t="s">
        <v>251</v>
      </c>
      <c r="K1211" s="1000">
        <f>$J$1178</f>
        <v>443.44</v>
      </c>
      <c r="L1211" s="997" t="s">
        <v>190</v>
      </c>
      <c r="M1211" s="972">
        <f>ROUND(I1211*K1211,2)</f>
        <v>389.61</v>
      </c>
      <c r="N1211" s="997" t="s">
        <v>183</v>
      </c>
      <c r="O1211" s="744" t="s">
        <v>239</v>
      </c>
    </row>
    <row r="1212" spans="2:15" hidden="1">
      <c r="B1212" s="1219" t="s">
        <v>481</v>
      </c>
      <c r="C1212" s="738"/>
      <c r="D1212" s="745"/>
      <c r="E1212" s="1000" t="s">
        <v>190</v>
      </c>
      <c r="F1212" s="1219"/>
      <c r="H1212" s="738"/>
      <c r="I1212" s="1219">
        <v>1</v>
      </c>
      <c r="J1212" s="1000" t="s">
        <v>251</v>
      </c>
      <c r="K1212" s="1000">
        <f>$G$1184</f>
        <v>21.428571428571427</v>
      </c>
      <c r="L1212" s="997" t="s">
        <v>190</v>
      </c>
      <c r="M1212" s="972">
        <f>ROUND(I1212*K1212,2)</f>
        <v>21.43</v>
      </c>
      <c r="N1212" s="997" t="s">
        <v>183</v>
      </c>
      <c r="O1212" s="744" t="s">
        <v>244</v>
      </c>
    </row>
    <row r="1213" spans="2:15" hidden="1">
      <c r="B1213" s="1219" t="s">
        <v>482</v>
      </c>
      <c r="C1213" s="738"/>
      <c r="D1213" s="745"/>
      <c r="E1213" s="1000" t="s">
        <v>190</v>
      </c>
      <c r="F1213" s="1219"/>
      <c r="H1213" s="744"/>
      <c r="I1213" s="1219">
        <v>1</v>
      </c>
      <c r="J1213" s="1000" t="s">
        <v>251</v>
      </c>
      <c r="K1213" s="1000">
        <f>ค่าดำเนินการ!$H$57</f>
        <v>176.4</v>
      </c>
      <c r="L1213" s="997" t="s">
        <v>190</v>
      </c>
      <c r="M1213" s="972">
        <f>ROUND(I1213*K1213,2)</f>
        <v>176.4</v>
      </c>
      <c r="N1213" s="997" t="s">
        <v>183</v>
      </c>
      <c r="O1213" s="744" t="s">
        <v>206</v>
      </c>
    </row>
    <row r="1214" spans="2:15" hidden="1">
      <c r="B1214" s="1219" t="s">
        <v>483</v>
      </c>
      <c r="C1214" s="738"/>
      <c r="D1214" s="745"/>
      <c r="E1214" s="1000" t="s">
        <v>190</v>
      </c>
      <c r="F1214" s="1219"/>
      <c r="H1214" s="744"/>
      <c r="I1214" s="1219">
        <v>1</v>
      </c>
      <c r="J1214" s="1000" t="s">
        <v>251</v>
      </c>
      <c r="K1214" s="1000">
        <v>391</v>
      </c>
      <c r="L1214" s="997" t="s">
        <v>190</v>
      </c>
      <c r="M1214" s="972">
        <f>ROUND(I1214*K1214,0)</f>
        <v>391</v>
      </c>
      <c r="N1214" s="997" t="s">
        <v>183</v>
      </c>
      <c r="O1214" s="744" t="s">
        <v>283</v>
      </c>
    </row>
    <row r="1215" spans="2:15" hidden="1">
      <c r="B1215" s="1219" t="s">
        <v>26</v>
      </c>
      <c r="C1215" s="1219"/>
      <c r="D1215" s="972"/>
      <c r="E1215" s="1000"/>
      <c r="F1215" s="1219"/>
      <c r="H1215" s="744"/>
      <c r="I1215" s="744"/>
      <c r="J1215" s="1219"/>
      <c r="K1215" s="972"/>
      <c r="L1215" s="997" t="s">
        <v>190</v>
      </c>
      <c r="M1215" s="972">
        <f>ROUND(SUM(M1209:M1214),2)</f>
        <v>2262.2199999999998</v>
      </c>
      <c r="N1215" s="997" t="s">
        <v>183</v>
      </c>
      <c r="O1215" s="744" t="s">
        <v>484</v>
      </c>
    </row>
    <row r="1216" spans="2:15" hidden="1">
      <c r="B1216" s="1219" t="s">
        <v>266</v>
      </c>
      <c r="C1216" s="1308"/>
      <c r="D1216" s="745"/>
      <c r="E1216" s="1000"/>
      <c r="F1216" s="1219"/>
      <c r="H1216" s="744"/>
      <c r="I1216" s="744"/>
      <c r="J1216" s="1219"/>
      <c r="K1216" s="972"/>
      <c r="L1216" s="997" t="s">
        <v>190</v>
      </c>
      <c r="M1216" s="972">
        <f>ROUNDDOWN(M1215,0)</f>
        <v>2262</v>
      </c>
      <c r="N1216" s="997" t="s">
        <v>183</v>
      </c>
      <c r="O1216" s="744" t="s">
        <v>485</v>
      </c>
    </row>
    <row r="1217" spans="2:17" hidden="1">
      <c r="B1217" s="1219"/>
      <c r="C1217" s="738"/>
      <c r="D1217" s="745"/>
      <c r="E1217" s="1219"/>
      <c r="F1217" s="1219"/>
      <c r="G1217" s="1219"/>
      <c r="H1217" s="1219"/>
      <c r="I1217" s="1219"/>
      <c r="J1217" s="1219"/>
      <c r="K1217" s="1219"/>
      <c r="L1217" s="738"/>
      <c r="M1217" s="744"/>
      <c r="O1217" s="744"/>
    </row>
    <row r="1218" spans="2:17" hidden="1">
      <c r="B1218" s="1310" t="s">
        <v>286</v>
      </c>
      <c r="C1218" s="738"/>
      <c r="D1218" s="745"/>
      <c r="E1218" s="1219"/>
      <c r="F1218" s="1219"/>
      <c r="G1218" s="1219"/>
      <c r="H1218" s="1219"/>
      <c r="I1218" s="1219"/>
      <c r="J1218" s="1219"/>
      <c r="K1218" s="1219"/>
      <c r="L1218" s="738"/>
      <c r="M1218" s="744"/>
    </row>
    <row r="1219" spans="2:17" hidden="1">
      <c r="B1219" s="1219" t="s">
        <v>278</v>
      </c>
      <c r="C1219" s="738"/>
      <c r="D1219" s="745"/>
      <c r="E1219" s="1000" t="s">
        <v>190</v>
      </c>
      <c r="F1219" s="1219">
        <v>350</v>
      </c>
      <c r="G1219" s="1000" t="s">
        <v>46</v>
      </c>
      <c r="H1219" s="738" t="s">
        <v>279</v>
      </c>
      <c r="I1219" s="1219">
        <f>F1219*1.05</f>
        <v>367.5</v>
      </c>
      <c r="J1219" s="1000" t="s">
        <v>242</v>
      </c>
      <c r="K1219" s="1000">
        <f>ROUND($J$1166/1000,2)</f>
        <v>2.89</v>
      </c>
      <c r="L1219" s="997" t="s">
        <v>190</v>
      </c>
      <c r="M1219" s="972">
        <f>ROUND(I1219*K1219,2)</f>
        <v>1062.08</v>
      </c>
      <c r="N1219" s="997" t="s">
        <v>183</v>
      </c>
      <c r="O1219" s="744" t="s">
        <v>193</v>
      </c>
    </row>
    <row r="1220" spans="2:17" hidden="1">
      <c r="B1220" s="1219" t="s">
        <v>189</v>
      </c>
      <c r="C1220" s="738"/>
      <c r="D1220" s="745"/>
      <c r="E1220" s="1000" t="s">
        <v>190</v>
      </c>
      <c r="F1220" s="1219">
        <v>0.57199999999999995</v>
      </c>
      <c r="G1220" s="1000" t="s">
        <v>6</v>
      </c>
      <c r="H1220" s="738" t="s">
        <v>280</v>
      </c>
      <c r="I1220" s="1219">
        <f>F1220*1.2</f>
        <v>0.6863999999999999</v>
      </c>
      <c r="J1220" s="1000" t="s">
        <v>251</v>
      </c>
      <c r="K1220" s="1000">
        <f>$J$1172</f>
        <v>437.27</v>
      </c>
      <c r="L1220" s="997" t="s">
        <v>190</v>
      </c>
      <c r="M1220" s="972">
        <f>ROUND(I1220*K1220,2)</f>
        <v>300.14</v>
      </c>
      <c r="N1220" s="997" t="s">
        <v>183</v>
      </c>
      <c r="O1220" s="744" t="s">
        <v>234</v>
      </c>
    </row>
    <row r="1221" spans="2:17" hidden="1">
      <c r="B1221" s="1219" t="s">
        <v>281</v>
      </c>
      <c r="C1221" s="738"/>
      <c r="D1221" s="745"/>
      <c r="E1221" s="1000" t="s">
        <v>190</v>
      </c>
      <c r="F1221" s="1219">
        <v>0.73599999999999999</v>
      </c>
      <c r="G1221" s="1000" t="s">
        <v>6</v>
      </c>
      <c r="H1221" s="738" t="s">
        <v>282</v>
      </c>
      <c r="I1221" s="1219">
        <f>F1221*1.15</f>
        <v>0.84639999999999993</v>
      </c>
      <c r="J1221" s="1000" t="s">
        <v>251</v>
      </c>
      <c r="K1221" s="1000">
        <f>$J$1178</f>
        <v>443.44</v>
      </c>
      <c r="L1221" s="997" t="s">
        <v>190</v>
      </c>
      <c r="M1221" s="972">
        <f>ROUND(I1221*K1221,2)</f>
        <v>375.33</v>
      </c>
      <c r="N1221" s="997" t="s">
        <v>183</v>
      </c>
      <c r="O1221" s="744" t="s">
        <v>239</v>
      </c>
    </row>
    <row r="1222" spans="2:17" hidden="1">
      <c r="B1222" s="1219" t="s">
        <v>481</v>
      </c>
      <c r="C1222" s="738"/>
      <c r="D1222" s="745"/>
      <c r="E1222" s="1000" t="s">
        <v>190</v>
      </c>
      <c r="F1222" s="1219"/>
      <c r="H1222" s="738"/>
      <c r="I1222" s="1219">
        <v>1</v>
      </c>
      <c r="J1222" s="1000" t="s">
        <v>251</v>
      </c>
      <c r="K1222" s="1000">
        <f>$G$1184</f>
        <v>21.428571428571427</v>
      </c>
      <c r="L1222" s="997" t="s">
        <v>190</v>
      </c>
      <c r="M1222" s="972">
        <f>ROUND(I1222*K1222,2)</f>
        <v>21.43</v>
      </c>
      <c r="N1222" s="997" t="s">
        <v>183</v>
      </c>
      <c r="O1222" s="744" t="s">
        <v>244</v>
      </c>
    </row>
    <row r="1223" spans="2:17" hidden="1">
      <c r="B1223" s="1219" t="s">
        <v>482</v>
      </c>
      <c r="C1223" s="738"/>
      <c r="D1223" s="745"/>
      <c r="E1223" s="1000" t="s">
        <v>190</v>
      </c>
      <c r="F1223" s="1219"/>
      <c r="H1223" s="744"/>
      <c r="I1223" s="1219">
        <v>1</v>
      </c>
      <c r="J1223" s="1000" t="s">
        <v>251</v>
      </c>
      <c r="K1223" s="1000">
        <f>ค่าดำเนินการ!$H$57</f>
        <v>176.4</v>
      </c>
      <c r="L1223" s="997" t="s">
        <v>190</v>
      </c>
      <c r="M1223" s="972">
        <f>ROUND(I1223*K1223,2)</f>
        <v>176.4</v>
      </c>
      <c r="N1223" s="997" t="s">
        <v>183</v>
      </c>
      <c r="O1223" s="744" t="s">
        <v>206</v>
      </c>
    </row>
    <row r="1224" spans="2:17" hidden="1">
      <c r="B1224" s="1219" t="s">
        <v>483</v>
      </c>
      <c r="C1224" s="738"/>
      <c r="D1224" s="745"/>
      <c r="E1224" s="1000" t="s">
        <v>190</v>
      </c>
      <c r="F1224" s="1219"/>
      <c r="H1224" s="744"/>
      <c r="I1224" s="1219">
        <v>1</v>
      </c>
      <c r="J1224" s="1000" t="s">
        <v>251</v>
      </c>
      <c r="K1224" s="1000">
        <v>391</v>
      </c>
      <c r="L1224" s="997" t="s">
        <v>190</v>
      </c>
      <c r="M1224" s="972">
        <f>ROUND(I1224*K1224,0)</f>
        <v>391</v>
      </c>
      <c r="N1224" s="997" t="s">
        <v>183</v>
      </c>
      <c r="O1224" s="744" t="s">
        <v>283</v>
      </c>
    </row>
    <row r="1225" spans="2:17" hidden="1">
      <c r="B1225" s="1219" t="s">
        <v>26</v>
      </c>
      <c r="C1225" s="1219"/>
      <c r="D1225" s="972"/>
      <c r="E1225" s="1000"/>
      <c r="F1225" s="1219"/>
      <c r="H1225" s="744"/>
      <c r="I1225" s="744"/>
      <c r="J1225" s="1219"/>
      <c r="K1225" s="972"/>
      <c r="L1225" s="997" t="s">
        <v>190</v>
      </c>
      <c r="M1225" s="972">
        <f>ROUND(SUM(M1219:M1224),2)</f>
        <v>2326.38</v>
      </c>
      <c r="N1225" s="997" t="s">
        <v>183</v>
      </c>
      <c r="O1225" s="744" t="s">
        <v>484</v>
      </c>
    </row>
    <row r="1226" spans="2:17" hidden="1">
      <c r="B1226" s="1219" t="s">
        <v>266</v>
      </c>
      <c r="C1226" s="1308"/>
      <c r="D1226" s="745"/>
      <c r="E1226" s="1000"/>
      <c r="F1226" s="1219"/>
      <c r="H1226" s="744"/>
      <c r="I1226" s="744"/>
      <c r="J1226" s="1219"/>
      <c r="K1226" s="972"/>
      <c r="L1226" s="997" t="s">
        <v>190</v>
      </c>
      <c r="M1226" s="972">
        <f>ROUNDDOWN(M1225,0)</f>
        <v>2326</v>
      </c>
      <c r="N1226" s="997" t="s">
        <v>183</v>
      </c>
      <c r="O1226" s="744" t="s">
        <v>485</v>
      </c>
    </row>
    <row r="1227" spans="2:17" hidden="1">
      <c r="B1227" s="1219"/>
      <c r="C1227" s="738"/>
      <c r="D1227" s="745"/>
      <c r="E1227" s="1219"/>
      <c r="F1227" s="1219"/>
      <c r="G1227" s="1219"/>
      <c r="H1227" s="1219"/>
      <c r="I1227" s="1219"/>
      <c r="J1227" s="1219"/>
      <c r="K1227" s="1219"/>
      <c r="L1227" s="738"/>
      <c r="M1227" s="744"/>
      <c r="O1227" s="744"/>
    </row>
    <row r="1228" spans="2:17" hidden="1">
      <c r="B1228" s="1310" t="s">
        <v>490</v>
      </c>
      <c r="C1228" s="738"/>
      <c r="D1228" s="745"/>
      <c r="E1228" s="1219"/>
      <c r="F1228" s="1219"/>
      <c r="G1228" s="1219"/>
      <c r="H1228" s="1219"/>
      <c r="I1228" s="1219"/>
      <c r="J1228" s="1219"/>
      <c r="K1228" s="1219"/>
      <c r="L1228" s="738"/>
      <c r="M1228" s="744"/>
    </row>
    <row r="1229" spans="2:17" hidden="1">
      <c r="B1229" s="1219" t="s">
        <v>278</v>
      </c>
      <c r="C1229" s="738"/>
      <c r="D1229" s="745"/>
      <c r="E1229" s="1000" t="s">
        <v>190</v>
      </c>
      <c r="F1229" s="1219">
        <v>380</v>
      </c>
      <c r="G1229" s="1000" t="s">
        <v>46</v>
      </c>
      <c r="H1229" s="738" t="s">
        <v>279</v>
      </c>
      <c r="I1229" s="1219">
        <f>F1229*1.05</f>
        <v>399</v>
      </c>
      <c r="J1229" s="1000" t="s">
        <v>242</v>
      </c>
      <c r="K1229" s="1000">
        <f>ROUND($J$1166/1000,2)</f>
        <v>2.89</v>
      </c>
      <c r="L1229" s="997" t="s">
        <v>190</v>
      </c>
      <c r="M1229" s="972">
        <f>ROUND(I1229*K1229,2)</f>
        <v>1153.1099999999999</v>
      </c>
      <c r="N1229" s="997" t="s">
        <v>183</v>
      </c>
      <c r="O1229" s="744" t="s">
        <v>193</v>
      </c>
      <c r="Q1229" s="976">
        <f>(350/300)*325</f>
        <v>379.16666666666669</v>
      </c>
    </row>
    <row r="1230" spans="2:17" hidden="1">
      <c r="B1230" s="1219" t="s">
        <v>189</v>
      </c>
      <c r="C1230" s="738"/>
      <c r="D1230" s="745"/>
      <c r="E1230" s="1000" t="s">
        <v>190</v>
      </c>
      <c r="F1230" s="1219">
        <v>0.57199999999999995</v>
      </c>
      <c r="G1230" s="1000" t="s">
        <v>6</v>
      </c>
      <c r="H1230" s="738" t="s">
        <v>280</v>
      </c>
      <c r="I1230" s="1219">
        <f>F1230*1.2</f>
        <v>0.6863999999999999</v>
      </c>
      <c r="J1230" s="1000" t="s">
        <v>251</v>
      </c>
      <c r="K1230" s="1000">
        <f>$J$1172</f>
        <v>437.27</v>
      </c>
      <c r="L1230" s="997" t="s">
        <v>190</v>
      </c>
      <c r="M1230" s="972">
        <f>ROUND(I1230*K1230,2)</f>
        <v>300.14</v>
      </c>
      <c r="N1230" s="997" t="s">
        <v>183</v>
      </c>
      <c r="O1230" s="744" t="s">
        <v>234</v>
      </c>
    </row>
    <row r="1231" spans="2:17" hidden="1">
      <c r="B1231" s="1219" t="s">
        <v>281</v>
      </c>
      <c r="C1231" s="738"/>
      <c r="D1231" s="745"/>
      <c r="E1231" s="1000" t="s">
        <v>190</v>
      </c>
      <c r="F1231" s="1219">
        <v>0.73599999999999999</v>
      </c>
      <c r="G1231" s="1000" t="s">
        <v>6</v>
      </c>
      <c r="H1231" s="738" t="s">
        <v>282</v>
      </c>
      <c r="I1231" s="1219">
        <f>F1231*1.15</f>
        <v>0.84639999999999993</v>
      </c>
      <c r="J1231" s="1000" t="s">
        <v>251</v>
      </c>
      <c r="K1231" s="1000">
        <f>$J$1178</f>
        <v>443.44</v>
      </c>
      <c r="L1231" s="997" t="s">
        <v>190</v>
      </c>
      <c r="M1231" s="972">
        <f>ROUND(I1231*K1231,2)</f>
        <v>375.33</v>
      </c>
      <c r="N1231" s="997" t="s">
        <v>183</v>
      </c>
      <c r="O1231" s="744" t="s">
        <v>239</v>
      </c>
    </row>
    <row r="1232" spans="2:17" hidden="1">
      <c r="B1232" s="1219" t="s">
        <v>481</v>
      </c>
      <c r="C1232" s="738"/>
      <c r="D1232" s="745"/>
      <c r="E1232" s="1000" t="s">
        <v>190</v>
      </c>
      <c r="F1232" s="1219"/>
      <c r="H1232" s="738"/>
      <c r="I1232" s="1219">
        <v>1</v>
      </c>
      <c r="J1232" s="1000" t="s">
        <v>251</v>
      </c>
      <c r="K1232" s="1000">
        <f>$G$1184</f>
        <v>21.428571428571427</v>
      </c>
      <c r="L1232" s="997" t="s">
        <v>190</v>
      </c>
      <c r="M1232" s="972">
        <f>ROUND(I1232*K1232,2)</f>
        <v>21.43</v>
      </c>
      <c r="N1232" s="997" t="s">
        <v>183</v>
      </c>
      <c r="O1232" s="744" t="s">
        <v>244</v>
      </c>
    </row>
    <row r="1233" spans="2:15" hidden="1">
      <c r="B1233" s="1219" t="s">
        <v>482</v>
      </c>
      <c r="C1233" s="738"/>
      <c r="D1233" s="745"/>
      <c r="E1233" s="1000" t="s">
        <v>190</v>
      </c>
      <c r="F1233" s="1219"/>
      <c r="H1233" s="744"/>
      <c r="I1233" s="1219">
        <v>1</v>
      </c>
      <c r="J1233" s="1000" t="s">
        <v>251</v>
      </c>
      <c r="K1233" s="1000">
        <f>ค่าดำเนินการ!$H$57</f>
        <v>176.4</v>
      </c>
      <c r="L1233" s="997" t="s">
        <v>190</v>
      </c>
      <c r="M1233" s="972">
        <f>ROUND(I1233*K1233,2)</f>
        <v>176.4</v>
      </c>
      <c r="N1233" s="997" t="s">
        <v>183</v>
      </c>
      <c r="O1233" s="744" t="s">
        <v>206</v>
      </c>
    </row>
    <row r="1234" spans="2:15" hidden="1">
      <c r="B1234" s="1219" t="s">
        <v>483</v>
      </c>
      <c r="C1234" s="738"/>
      <c r="D1234" s="745"/>
      <c r="E1234" s="1000" t="s">
        <v>190</v>
      </c>
      <c r="F1234" s="1219"/>
      <c r="G1234" s="1219" t="s">
        <v>491</v>
      </c>
      <c r="H1234" s="744"/>
      <c r="I1234" s="1219">
        <v>1</v>
      </c>
      <c r="J1234" s="1000" t="s">
        <v>251</v>
      </c>
      <c r="K1234" s="1000">
        <v>0</v>
      </c>
      <c r="L1234" s="997" t="s">
        <v>190</v>
      </c>
      <c r="M1234" s="972">
        <f>ROUND(I1234*K1234,0)</f>
        <v>0</v>
      </c>
      <c r="N1234" s="997" t="s">
        <v>183</v>
      </c>
      <c r="O1234" s="744" t="s">
        <v>283</v>
      </c>
    </row>
    <row r="1235" spans="2:15" hidden="1">
      <c r="B1235" s="1219" t="s">
        <v>26</v>
      </c>
      <c r="C1235" s="1219"/>
      <c r="D1235" s="972"/>
      <c r="E1235" s="1000"/>
      <c r="F1235" s="1219"/>
      <c r="H1235" s="744"/>
      <c r="I1235" s="744"/>
      <c r="J1235" s="1219"/>
      <c r="K1235" s="972"/>
      <c r="L1235" s="997" t="s">
        <v>190</v>
      </c>
      <c r="M1235" s="972">
        <f>ROUND(SUM(M1229:M1234),2)</f>
        <v>2026.41</v>
      </c>
      <c r="N1235" s="997" t="s">
        <v>183</v>
      </c>
      <c r="O1235" s="744" t="s">
        <v>484</v>
      </c>
    </row>
    <row r="1236" spans="2:15" hidden="1">
      <c r="B1236" s="1219" t="s">
        <v>266</v>
      </c>
      <c r="C1236" s="1219"/>
      <c r="D1236" s="972"/>
      <c r="E1236" s="1000"/>
      <c r="F1236" s="1219"/>
      <c r="H1236" s="744"/>
      <c r="I1236" s="744"/>
      <c r="J1236" s="1219"/>
      <c r="K1236" s="972"/>
      <c r="L1236" s="997" t="s">
        <v>190</v>
      </c>
      <c r="M1236" s="972">
        <f>ROUNDDOWN(M1235,0)</f>
        <v>2026</v>
      </c>
      <c r="N1236" s="997" t="s">
        <v>183</v>
      </c>
      <c r="O1236" s="744" t="s">
        <v>485</v>
      </c>
    </row>
    <row r="1237" spans="2:15" hidden="1">
      <c r="B1237" s="1219"/>
      <c r="C1237" s="738"/>
      <c r="D1237" s="745"/>
      <c r="E1237" s="1219"/>
      <c r="F1237" s="1219"/>
      <c r="G1237" s="1219"/>
      <c r="H1237" s="1219"/>
      <c r="I1237" s="1219"/>
      <c r="J1237" s="1219"/>
      <c r="K1237" s="1219"/>
      <c r="L1237" s="738"/>
      <c r="M1237" s="744"/>
      <c r="O1237" s="744"/>
    </row>
    <row r="1238" spans="2:15" hidden="1">
      <c r="B1238" s="1310" t="s">
        <v>287</v>
      </c>
      <c r="C1238" s="738"/>
      <c r="D1238" s="745"/>
      <c r="E1238" s="1219"/>
      <c r="F1238" s="1219"/>
      <c r="G1238" s="1219"/>
      <c r="H1238" s="1219"/>
      <c r="I1238" s="1219"/>
      <c r="J1238" s="1219"/>
      <c r="K1238" s="1219"/>
      <c r="L1238" s="738"/>
      <c r="M1238" s="744"/>
    </row>
    <row r="1239" spans="2:15" hidden="1">
      <c r="B1239" s="1219" t="s">
        <v>278</v>
      </c>
      <c r="C1239" s="738"/>
      <c r="D1239" s="745"/>
      <c r="E1239" s="1000" t="s">
        <v>190</v>
      </c>
      <c r="F1239" s="1219">
        <v>400</v>
      </c>
      <c r="G1239" s="1000" t="s">
        <v>46</v>
      </c>
      <c r="H1239" s="738" t="s">
        <v>279</v>
      </c>
      <c r="I1239" s="1219">
        <f>F1239*1.05</f>
        <v>420</v>
      </c>
      <c r="J1239" s="1000" t="s">
        <v>242</v>
      </c>
      <c r="K1239" s="1000">
        <f>ROUND($J$1166/1000,2)</f>
        <v>2.89</v>
      </c>
      <c r="L1239" s="997" t="s">
        <v>190</v>
      </c>
      <c r="M1239" s="972">
        <f>ROUND(I1239*K1239,2)</f>
        <v>1213.8</v>
      </c>
      <c r="N1239" s="997" t="s">
        <v>183</v>
      </c>
      <c r="O1239" s="744" t="s">
        <v>193</v>
      </c>
    </row>
    <row r="1240" spans="2:15" hidden="1">
      <c r="B1240" s="1219" t="s">
        <v>189</v>
      </c>
      <c r="C1240" s="738"/>
      <c r="D1240" s="745"/>
      <c r="E1240" s="1000" t="s">
        <v>190</v>
      </c>
      <c r="F1240" s="1219">
        <v>0.52400000000000002</v>
      </c>
      <c r="G1240" s="1000" t="s">
        <v>6</v>
      </c>
      <c r="H1240" s="738" t="s">
        <v>280</v>
      </c>
      <c r="I1240" s="1219">
        <f>F1240*1.2</f>
        <v>0.62880000000000003</v>
      </c>
      <c r="J1240" s="1000" t="s">
        <v>251</v>
      </c>
      <c r="K1240" s="1000">
        <f>$J$1172</f>
        <v>437.27</v>
      </c>
      <c r="L1240" s="997" t="s">
        <v>190</v>
      </c>
      <c r="M1240" s="972">
        <f>ROUND(I1240*K1240,2)</f>
        <v>274.95999999999998</v>
      </c>
      <c r="N1240" s="997" t="s">
        <v>183</v>
      </c>
      <c r="O1240" s="744" t="s">
        <v>234</v>
      </c>
    </row>
    <row r="1241" spans="2:15" hidden="1">
      <c r="B1241" s="1219" t="s">
        <v>281</v>
      </c>
      <c r="C1241" s="738"/>
      <c r="D1241" s="745"/>
      <c r="E1241" s="1000" t="s">
        <v>190</v>
      </c>
      <c r="F1241" s="1219">
        <v>0.72799999999999998</v>
      </c>
      <c r="G1241" s="1000" t="s">
        <v>6</v>
      </c>
      <c r="H1241" s="738" t="s">
        <v>282</v>
      </c>
      <c r="I1241" s="1219">
        <f>F1241*1.15</f>
        <v>0.83719999999999994</v>
      </c>
      <c r="J1241" s="1000" t="s">
        <v>251</v>
      </c>
      <c r="K1241" s="1000">
        <f>$J$1178</f>
        <v>443.44</v>
      </c>
      <c r="L1241" s="997" t="s">
        <v>190</v>
      </c>
      <c r="M1241" s="972">
        <f>ROUND(I1241*K1241,2)</f>
        <v>371.25</v>
      </c>
      <c r="N1241" s="997" t="s">
        <v>183</v>
      </c>
      <c r="O1241" s="744" t="s">
        <v>239</v>
      </c>
    </row>
    <row r="1242" spans="2:15" hidden="1">
      <c r="B1242" s="1219" t="s">
        <v>481</v>
      </c>
      <c r="C1242" s="738"/>
      <c r="D1242" s="745"/>
      <c r="E1242" s="1000" t="s">
        <v>190</v>
      </c>
      <c r="F1242" s="1219"/>
      <c r="H1242" s="738"/>
      <c r="I1242" s="1219">
        <v>1</v>
      </c>
      <c r="J1242" s="1000" t="s">
        <v>251</v>
      </c>
      <c r="K1242" s="1000">
        <f>$G$1184</f>
        <v>21.428571428571427</v>
      </c>
      <c r="L1242" s="997" t="s">
        <v>190</v>
      </c>
      <c r="M1242" s="972">
        <f>ROUND(I1242*K1242,2)</f>
        <v>21.43</v>
      </c>
      <c r="N1242" s="997" t="s">
        <v>183</v>
      </c>
      <c r="O1242" s="744" t="s">
        <v>244</v>
      </c>
    </row>
    <row r="1243" spans="2:15" hidden="1">
      <c r="B1243" s="1219" t="s">
        <v>482</v>
      </c>
      <c r="C1243" s="738"/>
      <c r="D1243" s="745"/>
      <c r="E1243" s="1000" t="s">
        <v>190</v>
      </c>
      <c r="F1243" s="1219"/>
      <c r="H1243" s="744"/>
      <c r="I1243" s="1219">
        <v>1</v>
      </c>
      <c r="J1243" s="1000" t="s">
        <v>251</v>
      </c>
      <c r="K1243" s="1000">
        <f>ค่าดำเนินการ!$H$57</f>
        <v>176.4</v>
      </c>
      <c r="L1243" s="997" t="s">
        <v>190</v>
      </c>
      <c r="M1243" s="972">
        <f>ROUND(I1243*K1243,2)</f>
        <v>176.4</v>
      </c>
      <c r="N1243" s="997" t="s">
        <v>183</v>
      </c>
      <c r="O1243" s="744" t="s">
        <v>206</v>
      </c>
    </row>
    <row r="1244" spans="2:15" hidden="1">
      <c r="B1244" s="1219" t="s">
        <v>483</v>
      </c>
      <c r="C1244" s="738"/>
      <c r="D1244" s="745"/>
      <c r="E1244" s="1000" t="s">
        <v>190</v>
      </c>
      <c r="F1244" s="1219"/>
      <c r="H1244" s="744"/>
      <c r="I1244" s="1219">
        <v>1</v>
      </c>
      <c r="J1244" s="1000" t="s">
        <v>251</v>
      </c>
      <c r="K1244" s="1000">
        <v>391</v>
      </c>
      <c r="L1244" s="997" t="s">
        <v>190</v>
      </c>
      <c r="M1244" s="972">
        <f>ROUND(I1244*K1244,0)</f>
        <v>391</v>
      </c>
      <c r="N1244" s="997" t="s">
        <v>183</v>
      </c>
      <c r="O1244" s="744" t="s">
        <v>283</v>
      </c>
    </row>
    <row r="1245" spans="2:15" hidden="1">
      <c r="B1245" s="1219" t="s">
        <v>26</v>
      </c>
      <c r="C1245" s="1219"/>
      <c r="D1245" s="972"/>
      <c r="E1245" s="1000"/>
      <c r="F1245" s="1219"/>
      <c r="H1245" s="744"/>
      <c r="I1245" s="744"/>
      <c r="J1245" s="1219"/>
      <c r="K1245" s="972"/>
      <c r="L1245" s="997" t="s">
        <v>190</v>
      </c>
      <c r="M1245" s="972">
        <f>ROUND(SUM(M1239:M1244),2)</f>
        <v>2448.84</v>
      </c>
      <c r="N1245" s="997" t="s">
        <v>183</v>
      </c>
      <c r="O1245" s="744" t="s">
        <v>484</v>
      </c>
    </row>
    <row r="1246" spans="2:15" hidden="1">
      <c r="B1246" s="1219" t="s">
        <v>266</v>
      </c>
      <c r="C1246" s="1308"/>
      <c r="D1246" s="745"/>
      <c r="E1246" s="1000"/>
      <c r="F1246" s="1219"/>
      <c r="H1246" s="744"/>
      <c r="I1246" s="744"/>
      <c r="J1246" s="1219"/>
      <c r="K1246" s="972"/>
      <c r="L1246" s="997" t="s">
        <v>190</v>
      </c>
      <c r="M1246" s="972">
        <f>ROUNDDOWN(M1245,0)</f>
        <v>2448</v>
      </c>
      <c r="N1246" s="997" t="s">
        <v>183</v>
      </c>
      <c r="O1246" s="744" t="s">
        <v>485</v>
      </c>
    </row>
    <row r="1247" spans="2:15" hidden="1">
      <c r="B1247" s="1219"/>
      <c r="C1247" s="738"/>
      <c r="D1247" s="745"/>
      <c r="E1247" s="1219"/>
      <c r="F1247" s="1219"/>
      <c r="G1247" s="1219"/>
      <c r="H1247" s="1219"/>
      <c r="I1247" s="1219"/>
      <c r="J1247" s="1219"/>
      <c r="K1247" s="1219"/>
      <c r="L1247" s="738"/>
      <c r="M1247" s="744"/>
      <c r="O1247" s="744"/>
    </row>
    <row r="1248" spans="2:15" hidden="1">
      <c r="B1248" s="1310" t="s">
        <v>288</v>
      </c>
      <c r="C1248" s="738"/>
      <c r="D1248" s="745"/>
      <c r="E1248" s="1219"/>
      <c r="F1248" s="1219"/>
      <c r="G1248" s="1219"/>
      <c r="H1248" s="1219"/>
      <c r="I1248" s="1219"/>
      <c r="J1248" s="1219"/>
      <c r="K1248" s="1219"/>
      <c r="L1248" s="738"/>
      <c r="M1248" s="744"/>
    </row>
    <row r="1249" spans="2:15" hidden="1">
      <c r="B1249" s="1219" t="s">
        <v>278</v>
      </c>
      <c r="C1249" s="738"/>
      <c r="D1249" s="745"/>
      <c r="E1249" s="1000" t="s">
        <v>190</v>
      </c>
      <c r="F1249" s="1219">
        <v>400</v>
      </c>
      <c r="G1249" s="1000" t="s">
        <v>46</v>
      </c>
      <c r="H1249" s="738" t="s">
        <v>279</v>
      </c>
      <c r="I1249" s="1219">
        <f>F1249*1.05</f>
        <v>420</v>
      </c>
      <c r="J1249" s="1000" t="s">
        <v>242</v>
      </c>
      <c r="K1249" s="1000">
        <f>ROUND($J$1166/1000,2)</f>
        <v>2.89</v>
      </c>
      <c r="L1249" s="997" t="s">
        <v>190</v>
      </c>
      <c r="M1249" s="972">
        <f>ROUND(I1249*K1249,2)</f>
        <v>1213.8</v>
      </c>
      <c r="N1249" s="997" t="s">
        <v>183</v>
      </c>
      <c r="O1249" s="744" t="s">
        <v>193</v>
      </c>
    </row>
    <row r="1250" spans="2:15" hidden="1">
      <c r="B1250" s="1219" t="s">
        <v>189</v>
      </c>
      <c r="C1250" s="738"/>
      <c r="D1250" s="745"/>
      <c r="E1250" s="1000" t="s">
        <v>190</v>
      </c>
      <c r="F1250" s="1219">
        <v>1</v>
      </c>
      <c r="G1250" s="1000" t="s">
        <v>6</v>
      </c>
      <c r="H1250" s="738" t="s">
        <v>280</v>
      </c>
      <c r="I1250" s="1219">
        <f>F1250*1.2</f>
        <v>1.2</v>
      </c>
      <c r="J1250" s="1000" t="s">
        <v>251</v>
      </c>
      <c r="K1250" s="1000">
        <f>$J$1172</f>
        <v>437.27</v>
      </c>
      <c r="L1250" s="997" t="s">
        <v>190</v>
      </c>
      <c r="M1250" s="972">
        <f>ROUND(I1250*K1250,2)</f>
        <v>524.72</v>
      </c>
      <c r="N1250" s="997" t="s">
        <v>183</v>
      </c>
      <c r="O1250" s="744" t="s">
        <v>234</v>
      </c>
    </row>
    <row r="1251" spans="2:15" hidden="1">
      <c r="B1251" s="1219" t="s">
        <v>281</v>
      </c>
      <c r="C1251" s="738"/>
      <c r="D1251" s="745"/>
      <c r="E1251" s="1000" t="s">
        <v>190</v>
      </c>
      <c r="F1251" s="1219">
        <v>0</v>
      </c>
      <c r="G1251" s="1000" t="s">
        <v>6</v>
      </c>
      <c r="H1251" s="738" t="s">
        <v>282</v>
      </c>
      <c r="I1251" s="1219">
        <f>F1251*1.15</f>
        <v>0</v>
      </c>
      <c r="J1251" s="1000" t="s">
        <v>251</v>
      </c>
      <c r="K1251" s="1000">
        <v>0</v>
      </c>
      <c r="L1251" s="997" t="s">
        <v>190</v>
      </c>
      <c r="M1251" s="972">
        <f>ROUND(I1251*K1251,2)</f>
        <v>0</v>
      </c>
      <c r="N1251" s="997" t="s">
        <v>183</v>
      </c>
      <c r="O1251" s="744" t="s">
        <v>239</v>
      </c>
    </row>
    <row r="1252" spans="2:15" hidden="1">
      <c r="B1252" s="1219" t="s">
        <v>289</v>
      </c>
      <c r="C1252" s="738"/>
      <c r="D1252" s="745"/>
      <c r="E1252" s="1000" t="s">
        <v>190</v>
      </c>
      <c r="F1252" s="1219"/>
      <c r="H1252" s="744"/>
      <c r="I1252" s="1219">
        <v>1</v>
      </c>
      <c r="J1252" s="1000" t="s">
        <v>251</v>
      </c>
      <c r="K1252" s="1000">
        <v>100</v>
      </c>
      <c r="L1252" s="997" t="s">
        <v>190</v>
      </c>
      <c r="M1252" s="972">
        <f>ROUND(I1252*K1252,0)</f>
        <v>100</v>
      </c>
      <c r="N1252" s="997" t="s">
        <v>183</v>
      </c>
      <c r="O1252" s="744" t="s">
        <v>240</v>
      </c>
    </row>
    <row r="1253" spans="2:15" hidden="1">
      <c r="B1253" s="1219" t="s">
        <v>26</v>
      </c>
      <c r="C1253" s="1219"/>
      <c r="D1253" s="972"/>
      <c r="E1253" s="1000"/>
      <c r="F1253" s="1219"/>
      <c r="H1253" s="744"/>
      <c r="I1253" s="744"/>
      <c r="J1253" s="1219"/>
      <c r="K1253" s="972"/>
      <c r="L1253" s="997" t="s">
        <v>190</v>
      </c>
      <c r="M1253" s="972">
        <f>ROUND(SUM(M1249:M1252),2)</f>
        <v>1838.52</v>
      </c>
      <c r="N1253" s="997" t="s">
        <v>183</v>
      </c>
      <c r="O1253" s="744" t="s">
        <v>290</v>
      </c>
    </row>
    <row r="1254" spans="2:15" hidden="1">
      <c r="B1254" s="1219" t="s">
        <v>266</v>
      </c>
      <c r="C1254" s="1219"/>
      <c r="D1254" s="972"/>
      <c r="E1254" s="1000"/>
      <c r="F1254" s="1219"/>
      <c r="H1254" s="744"/>
      <c r="I1254" s="744"/>
      <c r="J1254" s="1219"/>
      <c r="K1254" s="972"/>
      <c r="L1254" s="997" t="s">
        <v>190</v>
      </c>
      <c r="M1254" s="972">
        <f>ROUNDDOWN(M1253,0)</f>
        <v>1838</v>
      </c>
      <c r="N1254" s="997" t="s">
        <v>183</v>
      </c>
      <c r="O1254" s="744" t="s">
        <v>291</v>
      </c>
    </row>
    <row r="1255" spans="2:15" hidden="1">
      <c r="B1255" s="1219"/>
      <c r="C1255" s="1219"/>
      <c r="D1255" s="972"/>
      <c r="E1255" s="1000"/>
      <c r="F1255" s="1219"/>
      <c r="H1255" s="744"/>
      <c r="I1255" s="744"/>
      <c r="J1255" s="1219"/>
      <c r="K1255" s="972"/>
      <c r="L1255" s="997"/>
      <c r="M1255" s="972"/>
      <c r="N1255" s="997"/>
      <c r="O1255" s="744"/>
    </row>
    <row r="1256" spans="2:15" hidden="1">
      <c r="B1256" s="1302" t="s">
        <v>897</v>
      </c>
      <c r="C1256" s="1012"/>
      <c r="D1256" s="837"/>
      <c r="E1256" s="1000"/>
      <c r="F1256" s="1219"/>
      <c r="H1256" s="744"/>
      <c r="I1256" s="744"/>
      <c r="J1256" s="1219"/>
      <c r="K1256" s="837"/>
      <c r="L1256" s="1311"/>
      <c r="M1256" s="837"/>
      <c r="N1256" s="1311"/>
      <c r="O1256" s="744"/>
    </row>
    <row r="1257" spans="2:15" hidden="1">
      <c r="B1257" s="1297" t="s">
        <v>277</v>
      </c>
      <c r="C1257" s="807"/>
      <c r="D1257" s="845"/>
    </row>
    <row r="1258" spans="2:15" hidden="1">
      <c r="B1258" s="1012" t="s">
        <v>278</v>
      </c>
      <c r="C1258" s="807"/>
      <c r="D1258" s="845"/>
      <c r="E1258" s="1016" t="s">
        <v>190</v>
      </c>
      <c r="F1258" s="1012">
        <v>240</v>
      </c>
      <c r="G1258" s="1016" t="s">
        <v>46</v>
      </c>
      <c r="H1258" s="807" t="s">
        <v>279</v>
      </c>
      <c r="I1258" s="1012">
        <f>F1258*1.05</f>
        <v>252</v>
      </c>
      <c r="J1258" s="1016" t="s">
        <v>242</v>
      </c>
      <c r="K1258" s="1016">
        <f>ROUND($J$1166/1000,2)</f>
        <v>2.89</v>
      </c>
      <c r="L1258" s="1311" t="s">
        <v>190</v>
      </c>
      <c r="M1258" s="837">
        <f>ROUND(I1258*K1258,2)</f>
        <v>728.28</v>
      </c>
      <c r="N1258" s="1311" t="s">
        <v>183</v>
      </c>
      <c r="O1258" s="667" t="s">
        <v>193</v>
      </c>
    </row>
    <row r="1259" spans="2:15" hidden="1">
      <c r="B1259" s="1012" t="s">
        <v>189</v>
      </c>
      <c r="C1259" s="807"/>
      <c r="D1259" s="845"/>
      <c r="E1259" s="1016" t="s">
        <v>190</v>
      </c>
      <c r="F1259" s="1012">
        <v>0.52</v>
      </c>
      <c r="G1259" s="1016" t="s">
        <v>6</v>
      </c>
      <c r="H1259" s="807" t="s">
        <v>280</v>
      </c>
      <c r="I1259" s="1012">
        <f>F1259*1.2</f>
        <v>0.624</v>
      </c>
      <c r="J1259" s="1016" t="s">
        <v>251</v>
      </c>
      <c r="K1259" s="1016">
        <f>$J$1172</f>
        <v>437.27</v>
      </c>
      <c r="L1259" s="1311" t="s">
        <v>190</v>
      </c>
      <c r="M1259" s="837">
        <f>ROUND(I1259*K1259,2)</f>
        <v>272.86</v>
      </c>
      <c r="N1259" s="1311" t="s">
        <v>183</v>
      </c>
      <c r="O1259" s="667" t="s">
        <v>234</v>
      </c>
    </row>
    <row r="1260" spans="2:15" hidden="1">
      <c r="B1260" s="1012" t="s">
        <v>281</v>
      </c>
      <c r="C1260" s="807"/>
      <c r="D1260" s="845"/>
      <c r="E1260" s="1016" t="s">
        <v>190</v>
      </c>
      <c r="F1260" s="1012">
        <v>0.87</v>
      </c>
      <c r="G1260" s="1016" t="s">
        <v>6</v>
      </c>
      <c r="H1260" s="807" t="s">
        <v>282</v>
      </c>
      <c r="I1260" s="1012">
        <f>F1260*1.15</f>
        <v>1.0004999999999999</v>
      </c>
      <c r="J1260" s="1016" t="s">
        <v>251</v>
      </c>
      <c r="K1260" s="1016">
        <f>$J$1178</f>
        <v>443.44</v>
      </c>
      <c r="L1260" s="1311" t="s">
        <v>190</v>
      </c>
      <c r="M1260" s="837">
        <f>ROUND(I1260*K1260,2)</f>
        <v>443.66</v>
      </c>
      <c r="N1260" s="1311" t="s">
        <v>183</v>
      </c>
      <c r="O1260" s="667" t="s">
        <v>239</v>
      </c>
    </row>
    <row r="1261" spans="2:15" hidden="1">
      <c r="B1261" s="1219" t="s">
        <v>289</v>
      </c>
      <c r="C1261" s="807"/>
      <c r="D1261" s="845"/>
      <c r="E1261" s="1016" t="s">
        <v>190</v>
      </c>
      <c r="F1261" s="1012"/>
      <c r="G1261" s="1016"/>
      <c r="H1261" s="807"/>
      <c r="I1261" s="1012">
        <v>1</v>
      </c>
      <c r="J1261" s="1016" t="s">
        <v>251</v>
      </c>
      <c r="K1261" s="1016">
        <v>398</v>
      </c>
      <c r="L1261" s="1311" t="s">
        <v>190</v>
      </c>
      <c r="M1261" s="837">
        <f>ROUND(I1261*K1261,2)</f>
        <v>398</v>
      </c>
      <c r="N1261" s="1311" t="s">
        <v>183</v>
      </c>
      <c r="O1261" s="744" t="s">
        <v>240</v>
      </c>
    </row>
    <row r="1262" spans="2:15" hidden="1">
      <c r="B1262" s="1012" t="s">
        <v>26</v>
      </c>
      <c r="C1262" s="1012"/>
      <c r="D1262" s="837"/>
      <c r="E1262" s="1016"/>
      <c r="F1262" s="1012"/>
      <c r="G1262" s="1016"/>
      <c r="H1262" s="667"/>
      <c r="I1262" s="667"/>
      <c r="J1262" s="1012"/>
      <c r="K1262" s="837"/>
      <c r="L1262" s="1311" t="s">
        <v>190</v>
      </c>
      <c r="M1262" s="837">
        <f>ROUND(SUM(M1258:M1261),2)</f>
        <v>1842.8</v>
      </c>
      <c r="N1262" s="1311" t="s">
        <v>183</v>
      </c>
      <c r="O1262" s="744" t="s">
        <v>290</v>
      </c>
    </row>
    <row r="1263" spans="2:15" hidden="1">
      <c r="B1263" s="1012" t="s">
        <v>266</v>
      </c>
      <c r="C1263" s="1303"/>
      <c r="D1263" s="845"/>
      <c r="E1263" s="1016"/>
      <c r="F1263" s="1012"/>
      <c r="G1263" s="1016"/>
      <c r="H1263" s="667"/>
      <c r="I1263" s="667"/>
      <c r="J1263" s="1012"/>
      <c r="K1263" s="837"/>
      <c r="L1263" s="1311" t="s">
        <v>190</v>
      </c>
      <c r="M1263" s="837">
        <f>ROUNDDOWN(M1262,0)</f>
        <v>1842</v>
      </c>
      <c r="N1263" s="1311" t="s">
        <v>183</v>
      </c>
      <c r="O1263" s="744" t="s">
        <v>291</v>
      </c>
    </row>
    <row r="1264" spans="2:15" hidden="1">
      <c r="B1264" s="1012"/>
      <c r="C1264" s="1012"/>
      <c r="D1264" s="837"/>
      <c r="E1264" s="1016"/>
      <c r="F1264" s="1012"/>
      <c r="G1264" s="1016"/>
      <c r="H1264" s="667"/>
      <c r="I1264" s="667"/>
      <c r="J1264" s="1012"/>
      <c r="K1264" s="837"/>
      <c r="L1264" s="1311"/>
      <c r="M1264" s="837"/>
      <c r="N1264" s="1311"/>
      <c r="O1264" s="667"/>
    </row>
    <row r="1265" spans="2:15" hidden="1">
      <c r="B1265" s="1297" t="s">
        <v>284</v>
      </c>
      <c r="C1265" s="807"/>
      <c r="D1265" s="845"/>
      <c r="E1265" s="807"/>
      <c r="F1265" s="1304"/>
      <c r="G1265" s="807"/>
      <c r="H1265" s="1012"/>
      <c r="I1265" s="1012"/>
      <c r="J1265" s="1012"/>
      <c r="K1265" s="1012"/>
      <c r="L1265" s="807"/>
      <c r="M1265" s="667"/>
    </row>
    <row r="1266" spans="2:15" hidden="1">
      <c r="B1266" s="1012" t="s">
        <v>278</v>
      </c>
      <c r="C1266" s="807"/>
      <c r="D1266" s="845"/>
      <c r="E1266" s="1016" t="s">
        <v>190</v>
      </c>
      <c r="F1266" s="1012">
        <v>290</v>
      </c>
      <c r="G1266" s="1016" t="s">
        <v>46</v>
      </c>
      <c r="H1266" s="807" t="s">
        <v>279</v>
      </c>
      <c r="I1266" s="1012">
        <f>F1266*1.05</f>
        <v>304.5</v>
      </c>
      <c r="J1266" s="1016" t="s">
        <v>242</v>
      </c>
      <c r="K1266" s="1016">
        <f>ROUND($J$1166/1000,2)</f>
        <v>2.89</v>
      </c>
      <c r="L1266" s="1311" t="s">
        <v>190</v>
      </c>
      <c r="M1266" s="837">
        <f>ROUND(I1266*K1266,2)</f>
        <v>880.01</v>
      </c>
      <c r="N1266" s="1311" t="s">
        <v>183</v>
      </c>
      <c r="O1266" s="667" t="s">
        <v>193</v>
      </c>
    </row>
    <row r="1267" spans="2:15" hidden="1">
      <c r="B1267" s="1012" t="s">
        <v>189</v>
      </c>
      <c r="C1267" s="807"/>
      <c r="D1267" s="845"/>
      <c r="E1267" s="1016" t="s">
        <v>190</v>
      </c>
      <c r="F1267" s="1012">
        <v>0.62</v>
      </c>
      <c r="G1267" s="1016" t="s">
        <v>6</v>
      </c>
      <c r="H1267" s="807" t="s">
        <v>280</v>
      </c>
      <c r="I1267" s="1012">
        <f>F1267*1.2</f>
        <v>0.74399999999999999</v>
      </c>
      <c r="J1267" s="1016" t="s">
        <v>251</v>
      </c>
      <c r="K1267" s="1016">
        <f>$J$1172</f>
        <v>437.27</v>
      </c>
      <c r="L1267" s="1311" t="s">
        <v>190</v>
      </c>
      <c r="M1267" s="837">
        <f>ROUND(I1267*K1267,2)</f>
        <v>325.33</v>
      </c>
      <c r="N1267" s="1311" t="s">
        <v>183</v>
      </c>
      <c r="O1267" s="667" t="s">
        <v>234</v>
      </c>
    </row>
    <row r="1268" spans="2:15" hidden="1">
      <c r="B1268" s="1012" t="s">
        <v>281</v>
      </c>
      <c r="C1268" s="807"/>
      <c r="D1268" s="845"/>
      <c r="E1268" s="1016" t="s">
        <v>190</v>
      </c>
      <c r="F1268" s="1012">
        <v>0.72499999999999998</v>
      </c>
      <c r="G1268" s="1016" t="s">
        <v>6</v>
      </c>
      <c r="H1268" s="807" t="s">
        <v>282</v>
      </c>
      <c r="I1268" s="1012">
        <f>F1268*1.15</f>
        <v>0.83374999999999988</v>
      </c>
      <c r="J1268" s="1016" t="s">
        <v>251</v>
      </c>
      <c r="K1268" s="1016">
        <f>$J$1178</f>
        <v>443.44</v>
      </c>
      <c r="L1268" s="1311" t="s">
        <v>190</v>
      </c>
      <c r="M1268" s="837">
        <f>ROUND(I1268*K1268,2)</f>
        <v>369.72</v>
      </c>
      <c r="N1268" s="1311" t="s">
        <v>183</v>
      </c>
      <c r="O1268" s="667" t="s">
        <v>239</v>
      </c>
    </row>
    <row r="1269" spans="2:15" hidden="1">
      <c r="B1269" s="1219" t="s">
        <v>289</v>
      </c>
      <c r="C1269" s="807"/>
      <c r="D1269" s="845"/>
      <c r="E1269" s="1016" t="s">
        <v>190</v>
      </c>
      <c r="F1269" s="1012"/>
      <c r="G1269" s="1016"/>
      <c r="H1269" s="807"/>
      <c r="I1269" s="1012">
        <v>1</v>
      </c>
      <c r="J1269" s="1016" t="s">
        <v>251</v>
      </c>
      <c r="K1269" s="1016">
        <v>498</v>
      </c>
      <c r="L1269" s="1311" t="s">
        <v>190</v>
      </c>
      <c r="M1269" s="837">
        <f>ROUND(I1269*K1269,2)</f>
        <v>498</v>
      </c>
      <c r="N1269" s="1311" t="s">
        <v>183</v>
      </c>
      <c r="O1269" s="744" t="s">
        <v>240</v>
      </c>
    </row>
    <row r="1270" spans="2:15" hidden="1">
      <c r="B1270" s="1012" t="s">
        <v>26</v>
      </c>
      <c r="C1270" s="1012"/>
      <c r="D1270" s="837"/>
      <c r="E1270" s="1016"/>
      <c r="F1270" s="1012"/>
      <c r="G1270" s="1016"/>
      <c r="H1270" s="667"/>
      <c r="I1270" s="667"/>
      <c r="J1270" s="1012"/>
      <c r="K1270" s="837"/>
      <c r="L1270" s="1311" t="s">
        <v>190</v>
      </c>
      <c r="M1270" s="837">
        <f>ROUND(SUM(M1266:M1269),2)</f>
        <v>2073.06</v>
      </c>
      <c r="N1270" s="1311" t="s">
        <v>183</v>
      </c>
      <c r="O1270" s="744" t="s">
        <v>290</v>
      </c>
    </row>
    <row r="1271" spans="2:15" hidden="1">
      <c r="B1271" s="1012" t="s">
        <v>266</v>
      </c>
      <c r="C1271" s="1303"/>
      <c r="D1271" s="845"/>
      <c r="E1271" s="1016"/>
      <c r="F1271" s="1012"/>
      <c r="G1271" s="1016"/>
      <c r="H1271" s="667"/>
      <c r="I1271" s="667"/>
      <c r="J1271" s="1012"/>
      <c r="K1271" s="837"/>
      <c r="L1271" s="1311" t="s">
        <v>190</v>
      </c>
      <c r="M1271" s="837">
        <f>ROUNDDOWN(M1270,0)</f>
        <v>2073</v>
      </c>
      <c r="N1271" s="1311" t="s">
        <v>183</v>
      </c>
      <c r="O1271" s="744" t="s">
        <v>291</v>
      </c>
    </row>
    <row r="1272" spans="2:15" hidden="1">
      <c r="B1272" s="1012"/>
      <c r="C1272" s="807"/>
      <c r="D1272" s="845"/>
      <c r="E1272" s="1012"/>
      <c r="F1272" s="1012"/>
      <c r="G1272" s="1012"/>
      <c r="H1272" s="1012"/>
      <c r="I1272" s="1012"/>
      <c r="J1272" s="1012"/>
      <c r="K1272" s="1012"/>
      <c r="L1272" s="807"/>
      <c r="M1272" s="667"/>
      <c r="O1272" s="667"/>
    </row>
    <row r="1273" spans="2:15" hidden="1">
      <c r="B1273" s="1297" t="s">
        <v>285</v>
      </c>
      <c r="C1273" s="807"/>
      <c r="D1273" s="845"/>
      <c r="E1273" s="807"/>
      <c r="F1273" s="1304"/>
      <c r="G1273" s="807"/>
      <c r="H1273" s="1012"/>
      <c r="I1273" s="1012"/>
      <c r="J1273" s="1012"/>
      <c r="K1273" s="1012"/>
      <c r="L1273" s="807"/>
      <c r="M1273" s="667"/>
    </row>
    <row r="1274" spans="2:15" hidden="1">
      <c r="B1274" s="1012" t="s">
        <v>278</v>
      </c>
      <c r="C1274" s="807"/>
      <c r="D1274" s="845"/>
      <c r="E1274" s="1016" t="s">
        <v>190</v>
      </c>
      <c r="F1274" s="1012">
        <v>320</v>
      </c>
      <c r="G1274" s="1016" t="s">
        <v>46</v>
      </c>
      <c r="H1274" s="807" t="s">
        <v>279</v>
      </c>
      <c r="I1274" s="1012">
        <f>F1274*1.05</f>
        <v>336</v>
      </c>
      <c r="J1274" s="1016" t="s">
        <v>242</v>
      </c>
      <c r="K1274" s="1016">
        <f>ROUND($J$1166/1000,2)</f>
        <v>2.89</v>
      </c>
      <c r="L1274" s="1311" t="s">
        <v>190</v>
      </c>
      <c r="M1274" s="837">
        <f>ROUND(I1274*K1274,2)</f>
        <v>971.04</v>
      </c>
      <c r="N1274" s="1311" t="s">
        <v>183</v>
      </c>
      <c r="O1274" s="667" t="s">
        <v>193</v>
      </c>
    </row>
    <row r="1275" spans="2:15" hidden="1">
      <c r="B1275" s="1012" t="s">
        <v>189</v>
      </c>
      <c r="C1275" s="807"/>
      <c r="D1275" s="845"/>
      <c r="E1275" s="1016" t="s">
        <v>190</v>
      </c>
      <c r="F1275" s="1012">
        <v>0.59599999999999997</v>
      </c>
      <c r="G1275" s="1016" t="s">
        <v>6</v>
      </c>
      <c r="H1275" s="807" t="s">
        <v>280</v>
      </c>
      <c r="I1275" s="1012">
        <f>F1275*1.2</f>
        <v>0.71519999999999995</v>
      </c>
      <c r="J1275" s="1016" t="s">
        <v>251</v>
      </c>
      <c r="K1275" s="1016">
        <f>$J$1172</f>
        <v>437.27</v>
      </c>
      <c r="L1275" s="1311" t="s">
        <v>190</v>
      </c>
      <c r="M1275" s="837">
        <f>ROUND(I1275*K1275,2)</f>
        <v>312.74</v>
      </c>
      <c r="N1275" s="1311" t="s">
        <v>183</v>
      </c>
      <c r="O1275" s="667" t="s">
        <v>234</v>
      </c>
    </row>
    <row r="1276" spans="2:15" hidden="1">
      <c r="B1276" s="1012" t="s">
        <v>281</v>
      </c>
      <c r="C1276" s="807"/>
      <c r="D1276" s="845"/>
      <c r="E1276" s="1016" t="s">
        <v>190</v>
      </c>
      <c r="F1276" s="1012">
        <v>0.76400000000000001</v>
      </c>
      <c r="G1276" s="1016" t="s">
        <v>6</v>
      </c>
      <c r="H1276" s="807" t="s">
        <v>282</v>
      </c>
      <c r="I1276" s="1012">
        <f>F1276*1.15</f>
        <v>0.87859999999999994</v>
      </c>
      <c r="J1276" s="1016" t="s">
        <v>251</v>
      </c>
      <c r="K1276" s="1016">
        <f>$J$1178</f>
        <v>443.44</v>
      </c>
      <c r="L1276" s="1311" t="s">
        <v>190</v>
      </c>
      <c r="M1276" s="837">
        <f>ROUND(I1276*K1276,2)</f>
        <v>389.61</v>
      </c>
      <c r="N1276" s="1311" t="s">
        <v>183</v>
      </c>
      <c r="O1276" s="667" t="s">
        <v>239</v>
      </c>
    </row>
    <row r="1277" spans="2:15" hidden="1">
      <c r="B1277" s="1219" t="s">
        <v>289</v>
      </c>
      <c r="C1277" s="807"/>
      <c r="D1277" s="845"/>
      <c r="E1277" s="1016" t="s">
        <v>190</v>
      </c>
      <c r="F1277" s="1012"/>
      <c r="G1277" s="1016"/>
      <c r="H1277" s="807"/>
      <c r="I1277" s="1012">
        <v>1</v>
      </c>
      <c r="J1277" s="1016" t="s">
        <v>251</v>
      </c>
      <c r="K1277" s="1016">
        <f>K1269</f>
        <v>498</v>
      </c>
      <c r="L1277" s="1311" t="s">
        <v>190</v>
      </c>
      <c r="M1277" s="837">
        <f>ROUND(I1277*K1277,2)</f>
        <v>498</v>
      </c>
      <c r="N1277" s="1311" t="s">
        <v>183</v>
      </c>
      <c r="O1277" s="667" t="s">
        <v>244</v>
      </c>
    </row>
    <row r="1278" spans="2:15" hidden="1">
      <c r="B1278" s="1012" t="s">
        <v>26</v>
      </c>
      <c r="C1278" s="1012"/>
      <c r="D1278" s="837"/>
      <c r="E1278" s="1016"/>
      <c r="F1278" s="1012"/>
      <c r="G1278" s="1016"/>
      <c r="H1278" s="667"/>
      <c r="I1278" s="667"/>
      <c r="J1278" s="1012"/>
      <c r="K1278" s="837"/>
      <c r="L1278" s="1311" t="s">
        <v>190</v>
      </c>
      <c r="M1278" s="837">
        <f>ROUND(SUM(M1274:M1277),2)</f>
        <v>2171.39</v>
      </c>
      <c r="N1278" s="1311" t="s">
        <v>183</v>
      </c>
      <c r="O1278" s="667" t="s">
        <v>484</v>
      </c>
    </row>
    <row r="1279" spans="2:15" hidden="1">
      <c r="B1279" s="1012" t="s">
        <v>266</v>
      </c>
      <c r="C1279" s="1303"/>
      <c r="D1279" s="845"/>
      <c r="E1279" s="1016"/>
      <c r="F1279" s="1012"/>
      <c r="G1279" s="1016"/>
      <c r="H1279" s="667"/>
      <c r="I1279" s="667"/>
      <c r="J1279" s="1012"/>
      <c r="K1279" s="837"/>
      <c r="L1279" s="1311" t="s">
        <v>190</v>
      </c>
      <c r="M1279" s="837">
        <f>ROUNDDOWN(M1278,0)</f>
        <v>2171</v>
      </c>
      <c r="N1279" s="1311" t="s">
        <v>183</v>
      </c>
      <c r="O1279" s="667" t="s">
        <v>485</v>
      </c>
    </row>
    <row r="1280" spans="2:15" hidden="1">
      <c r="B1280" s="1012"/>
      <c r="C1280" s="807"/>
      <c r="D1280" s="845"/>
      <c r="E1280" s="1012"/>
      <c r="F1280" s="1012"/>
      <c r="G1280" s="1012"/>
      <c r="H1280" s="1012"/>
      <c r="I1280" s="1012"/>
      <c r="J1280" s="1012"/>
      <c r="K1280" s="1012"/>
      <c r="L1280" s="807"/>
      <c r="M1280" s="667"/>
      <c r="O1280" s="667"/>
    </row>
    <row r="1281" spans="2:15" hidden="1">
      <c r="B1281" s="1297" t="s">
        <v>286</v>
      </c>
      <c r="C1281" s="807"/>
      <c r="D1281" s="845"/>
      <c r="E1281" s="1012"/>
      <c r="F1281" s="1012"/>
      <c r="G1281" s="1012"/>
      <c r="H1281" s="1012"/>
      <c r="I1281" s="1012"/>
      <c r="J1281" s="1012"/>
      <c r="K1281" s="1012"/>
      <c r="L1281" s="807"/>
      <c r="M1281" s="667"/>
    </row>
    <row r="1282" spans="2:15" hidden="1">
      <c r="B1282" s="1012" t="s">
        <v>278</v>
      </c>
      <c r="C1282" s="807"/>
      <c r="D1282" s="845"/>
      <c r="E1282" s="1016" t="s">
        <v>190</v>
      </c>
      <c r="F1282" s="1012">
        <v>350</v>
      </c>
      <c r="G1282" s="1016" t="s">
        <v>46</v>
      </c>
      <c r="H1282" s="807" t="s">
        <v>279</v>
      </c>
      <c r="I1282" s="1012">
        <f>F1282*1.05</f>
        <v>367.5</v>
      </c>
      <c r="J1282" s="1016" t="s">
        <v>242</v>
      </c>
      <c r="K1282" s="1016">
        <f>ROUND($J$1166/1000,2)</f>
        <v>2.89</v>
      </c>
      <c r="L1282" s="1311" t="s">
        <v>190</v>
      </c>
      <c r="M1282" s="837">
        <f>ROUND(I1282*K1282,2)</f>
        <v>1062.08</v>
      </c>
      <c r="N1282" s="1311" t="s">
        <v>183</v>
      </c>
      <c r="O1282" s="667" t="s">
        <v>193</v>
      </c>
    </row>
    <row r="1283" spans="2:15" hidden="1">
      <c r="B1283" s="1012" t="s">
        <v>189</v>
      </c>
      <c r="C1283" s="807"/>
      <c r="D1283" s="845"/>
      <c r="E1283" s="1016" t="s">
        <v>190</v>
      </c>
      <c r="F1283" s="1012">
        <v>0.57199999999999995</v>
      </c>
      <c r="G1283" s="1016" t="s">
        <v>6</v>
      </c>
      <c r="H1283" s="807" t="s">
        <v>280</v>
      </c>
      <c r="I1283" s="1012">
        <f>F1283*1.2</f>
        <v>0.6863999999999999</v>
      </c>
      <c r="J1283" s="1016" t="s">
        <v>251</v>
      </c>
      <c r="K1283" s="1016">
        <f>$J$1172</f>
        <v>437.27</v>
      </c>
      <c r="L1283" s="1311" t="s">
        <v>190</v>
      </c>
      <c r="M1283" s="837">
        <f>ROUND(I1283*K1283,2)</f>
        <v>300.14</v>
      </c>
      <c r="N1283" s="1311" t="s">
        <v>183</v>
      </c>
      <c r="O1283" s="667" t="s">
        <v>234</v>
      </c>
    </row>
    <row r="1284" spans="2:15" hidden="1">
      <c r="B1284" s="1012" t="s">
        <v>281</v>
      </c>
      <c r="C1284" s="807"/>
      <c r="D1284" s="845"/>
      <c r="E1284" s="1016" t="s">
        <v>190</v>
      </c>
      <c r="F1284" s="1012">
        <v>0.73599999999999999</v>
      </c>
      <c r="G1284" s="1016" t="s">
        <v>6</v>
      </c>
      <c r="H1284" s="807" t="s">
        <v>282</v>
      </c>
      <c r="I1284" s="1012">
        <f>F1284*1.15</f>
        <v>0.84639999999999993</v>
      </c>
      <c r="J1284" s="1016" t="s">
        <v>251</v>
      </c>
      <c r="K1284" s="1016">
        <f>$J$1178</f>
        <v>443.44</v>
      </c>
      <c r="L1284" s="1311" t="s">
        <v>190</v>
      </c>
      <c r="M1284" s="837">
        <f>ROUND(I1284*K1284,2)</f>
        <v>375.33</v>
      </c>
      <c r="N1284" s="1311" t="s">
        <v>183</v>
      </c>
      <c r="O1284" s="667" t="s">
        <v>239</v>
      </c>
    </row>
    <row r="1285" spans="2:15" hidden="1">
      <c r="B1285" s="1219" t="s">
        <v>289</v>
      </c>
      <c r="C1285" s="807"/>
      <c r="D1285" s="845"/>
      <c r="E1285" s="1016" t="s">
        <v>190</v>
      </c>
      <c r="F1285" s="1012"/>
      <c r="G1285" s="1016"/>
      <c r="H1285" s="807"/>
      <c r="I1285" s="1012">
        <v>1</v>
      </c>
      <c r="J1285" s="1016" t="s">
        <v>251</v>
      </c>
      <c r="K1285" s="1016">
        <f>K1277</f>
        <v>498</v>
      </c>
      <c r="L1285" s="1311" t="s">
        <v>190</v>
      </c>
      <c r="M1285" s="837">
        <f>ROUND(I1285*K1285,2)</f>
        <v>498</v>
      </c>
      <c r="N1285" s="1311" t="s">
        <v>183</v>
      </c>
      <c r="O1285" s="744" t="s">
        <v>240</v>
      </c>
    </row>
    <row r="1286" spans="2:15" hidden="1">
      <c r="B1286" s="1012" t="s">
        <v>26</v>
      </c>
      <c r="C1286" s="1012"/>
      <c r="D1286" s="837"/>
      <c r="E1286" s="1016"/>
      <c r="F1286" s="1012"/>
      <c r="G1286" s="1016"/>
      <c r="H1286" s="667"/>
      <c r="I1286" s="667"/>
      <c r="J1286" s="1012"/>
      <c r="K1286" s="837"/>
      <c r="L1286" s="1311" t="s">
        <v>190</v>
      </c>
      <c r="M1286" s="837">
        <f>ROUND(SUM(M1282:M1285),2)</f>
        <v>2235.5500000000002</v>
      </c>
      <c r="N1286" s="1311" t="s">
        <v>183</v>
      </c>
      <c r="O1286" s="744" t="s">
        <v>290</v>
      </c>
    </row>
    <row r="1287" spans="2:15" hidden="1">
      <c r="B1287" s="1012" t="s">
        <v>266</v>
      </c>
      <c r="C1287" s="1303"/>
      <c r="D1287" s="845"/>
      <c r="E1287" s="1016"/>
      <c r="F1287" s="1012"/>
      <c r="G1287" s="1016"/>
      <c r="H1287" s="667"/>
      <c r="I1287" s="667"/>
      <c r="J1287" s="1012"/>
      <c r="K1287" s="837"/>
      <c r="L1287" s="1311" t="s">
        <v>190</v>
      </c>
      <c r="M1287" s="837">
        <f>ROUNDDOWN(M1286,0)</f>
        <v>2235</v>
      </c>
      <c r="N1287" s="1311" t="s">
        <v>183</v>
      </c>
      <c r="O1287" s="744" t="s">
        <v>291</v>
      </c>
    </row>
    <row r="1288" spans="2:15" hidden="1">
      <c r="B1288" s="1012"/>
      <c r="C1288" s="807"/>
      <c r="D1288" s="845"/>
      <c r="E1288" s="1012"/>
      <c r="F1288" s="1012"/>
      <c r="G1288" s="1012"/>
      <c r="H1288" s="1012"/>
      <c r="I1288" s="1012"/>
      <c r="J1288" s="1012"/>
      <c r="K1288" s="1012"/>
      <c r="L1288" s="807"/>
      <c r="M1288" s="667"/>
      <c r="O1288" s="667"/>
    </row>
    <row r="1289" spans="2:15" hidden="1">
      <c r="B1289" s="1297" t="s">
        <v>287</v>
      </c>
      <c r="C1289" s="807"/>
      <c r="D1289" s="845"/>
      <c r="E1289" s="1012"/>
      <c r="F1289" s="1012"/>
      <c r="G1289" s="1012"/>
      <c r="H1289" s="1012"/>
      <c r="I1289" s="1012"/>
      <c r="J1289" s="1012"/>
      <c r="K1289" s="1012"/>
      <c r="L1289" s="807"/>
      <c r="M1289" s="667"/>
    </row>
    <row r="1290" spans="2:15" hidden="1">
      <c r="B1290" s="1012" t="s">
        <v>278</v>
      </c>
      <c r="C1290" s="807"/>
      <c r="D1290" s="845"/>
      <c r="E1290" s="1016" t="s">
        <v>190</v>
      </c>
      <c r="F1290" s="1012">
        <v>400</v>
      </c>
      <c r="G1290" s="1016" t="s">
        <v>46</v>
      </c>
      <c r="H1290" s="807" t="s">
        <v>279</v>
      </c>
      <c r="I1290" s="1012">
        <f>F1290*1.05</f>
        <v>420</v>
      </c>
      <c r="J1290" s="1016" t="s">
        <v>242</v>
      </c>
      <c r="K1290" s="1016">
        <f>ROUND($J$1166/1000,2)</f>
        <v>2.89</v>
      </c>
      <c r="L1290" s="1311" t="s">
        <v>190</v>
      </c>
      <c r="M1290" s="837">
        <f>ROUND(I1290*K1290,2)</f>
        <v>1213.8</v>
      </c>
      <c r="N1290" s="1311" t="s">
        <v>183</v>
      </c>
      <c r="O1290" s="667" t="s">
        <v>193</v>
      </c>
    </row>
    <row r="1291" spans="2:15" hidden="1">
      <c r="B1291" s="1012" t="s">
        <v>189</v>
      </c>
      <c r="C1291" s="807"/>
      <c r="D1291" s="845"/>
      <c r="E1291" s="1016" t="s">
        <v>190</v>
      </c>
      <c r="F1291" s="1012">
        <v>0.52400000000000002</v>
      </c>
      <c r="G1291" s="1016" t="s">
        <v>6</v>
      </c>
      <c r="H1291" s="807" t="s">
        <v>280</v>
      </c>
      <c r="I1291" s="1012">
        <f>F1291*1.2</f>
        <v>0.62880000000000003</v>
      </c>
      <c r="J1291" s="1016" t="s">
        <v>251</v>
      </c>
      <c r="K1291" s="1016">
        <f>$J$1172</f>
        <v>437.27</v>
      </c>
      <c r="L1291" s="1311" t="s">
        <v>190</v>
      </c>
      <c r="M1291" s="837">
        <f>ROUND(I1291*K1291,2)</f>
        <v>274.95999999999998</v>
      </c>
      <c r="N1291" s="1311" t="s">
        <v>183</v>
      </c>
      <c r="O1291" s="667" t="s">
        <v>234</v>
      </c>
    </row>
    <row r="1292" spans="2:15" hidden="1">
      <c r="B1292" s="1012" t="s">
        <v>281</v>
      </c>
      <c r="C1292" s="807"/>
      <c r="D1292" s="845"/>
      <c r="E1292" s="1016" t="s">
        <v>190</v>
      </c>
      <c r="F1292" s="1012">
        <v>0.72799999999999998</v>
      </c>
      <c r="G1292" s="1016" t="s">
        <v>6</v>
      </c>
      <c r="H1292" s="807" t="s">
        <v>282</v>
      </c>
      <c r="I1292" s="1012">
        <f>F1292*1.15</f>
        <v>0.83719999999999994</v>
      </c>
      <c r="J1292" s="1016" t="s">
        <v>251</v>
      </c>
      <c r="K1292" s="1016">
        <f>$J$1178</f>
        <v>443.44</v>
      </c>
      <c r="L1292" s="1311" t="s">
        <v>190</v>
      </c>
      <c r="M1292" s="837">
        <f>ROUND(I1292*K1292,2)</f>
        <v>371.25</v>
      </c>
      <c r="N1292" s="1311" t="s">
        <v>183</v>
      </c>
      <c r="O1292" s="667" t="s">
        <v>239</v>
      </c>
    </row>
    <row r="1293" spans="2:15" hidden="1">
      <c r="B1293" s="1219" t="s">
        <v>289</v>
      </c>
      <c r="C1293" s="807"/>
      <c r="D1293" s="845"/>
      <c r="E1293" s="1016" t="s">
        <v>190</v>
      </c>
      <c r="F1293" s="1012"/>
      <c r="G1293" s="1016"/>
      <c r="H1293" s="807"/>
      <c r="I1293" s="1012">
        <v>1</v>
      </c>
      <c r="J1293" s="1016" t="s">
        <v>251</v>
      </c>
      <c r="K1293" s="1016">
        <v>498</v>
      </c>
      <c r="L1293" s="1311" t="s">
        <v>190</v>
      </c>
      <c r="M1293" s="837">
        <f>ROUND(I1293*K1293,2)</f>
        <v>498</v>
      </c>
      <c r="N1293" s="1311" t="s">
        <v>183</v>
      </c>
      <c r="O1293" s="744" t="s">
        <v>240</v>
      </c>
    </row>
    <row r="1294" spans="2:15" hidden="1">
      <c r="B1294" s="1012" t="s">
        <v>26</v>
      </c>
      <c r="C1294" s="1012"/>
      <c r="D1294" s="837"/>
      <c r="E1294" s="1016"/>
      <c r="F1294" s="1012"/>
      <c r="G1294" s="1016"/>
      <c r="H1294" s="667"/>
      <c r="I1294" s="667"/>
      <c r="J1294" s="1012"/>
      <c r="K1294" s="837"/>
      <c r="L1294" s="1311" t="s">
        <v>190</v>
      </c>
      <c r="M1294" s="837">
        <f>ROUND(SUM(M1290:M1293),2)</f>
        <v>2358.0100000000002</v>
      </c>
      <c r="N1294" s="1311" t="s">
        <v>183</v>
      </c>
      <c r="O1294" s="744" t="s">
        <v>290</v>
      </c>
    </row>
    <row r="1295" spans="2:15" hidden="1">
      <c r="B1295" s="1012" t="s">
        <v>266</v>
      </c>
      <c r="C1295" s="1303"/>
      <c r="D1295" s="845"/>
      <c r="E1295" s="1016"/>
      <c r="F1295" s="1012"/>
      <c r="G1295" s="1016"/>
      <c r="H1295" s="667"/>
      <c r="I1295" s="667"/>
      <c r="J1295" s="1012"/>
      <c r="K1295" s="837"/>
      <c r="L1295" s="1311" t="s">
        <v>190</v>
      </c>
      <c r="M1295" s="837">
        <f>ROUNDDOWN(M1294,0)</f>
        <v>2358</v>
      </c>
      <c r="N1295" s="1311" t="s">
        <v>183</v>
      </c>
      <c r="O1295" s="744" t="s">
        <v>291</v>
      </c>
    </row>
    <row r="1296" spans="2:15" hidden="1">
      <c r="B1296" s="1012"/>
      <c r="C1296" s="738"/>
      <c r="D1296" s="745"/>
      <c r="E1296" s="1012"/>
      <c r="F1296" s="1012"/>
      <c r="G1296" s="1012"/>
      <c r="H1296" s="1012"/>
      <c r="I1296" s="1012"/>
      <c r="J1296" s="1012"/>
      <c r="K1296" s="1012"/>
      <c r="L1296" s="807"/>
      <c r="M1296" s="667"/>
      <c r="O1296" s="667"/>
    </row>
    <row r="1297" spans="1:15" hidden="1">
      <c r="B1297" s="1012"/>
      <c r="C1297" s="738"/>
      <c r="D1297" s="745"/>
      <c r="E1297" s="1012"/>
      <c r="F1297" s="1012"/>
      <c r="G1297" s="1012"/>
      <c r="H1297" s="1012"/>
      <c r="I1297" s="1012"/>
      <c r="J1297" s="1012"/>
      <c r="K1297" s="1012"/>
      <c r="L1297" s="807"/>
      <c r="M1297" s="667"/>
    </row>
    <row r="1298" spans="1:15" hidden="1">
      <c r="B1298" s="1012"/>
      <c r="C1298" s="738"/>
      <c r="D1298" s="745"/>
      <c r="E1298" s="1012"/>
      <c r="F1298" s="1012"/>
      <c r="G1298" s="1012"/>
      <c r="H1298" s="1012"/>
      <c r="I1298" s="1012"/>
      <c r="J1298" s="1012"/>
      <c r="K1298" s="1012"/>
      <c r="L1298" s="807"/>
      <c r="M1298" s="667"/>
    </row>
    <row r="1299" spans="1:15" hidden="1">
      <c r="B1299" s="1310" t="s">
        <v>288</v>
      </c>
      <c r="C1299" s="738"/>
      <c r="D1299" s="745"/>
      <c r="E1299" s="1219"/>
      <c r="F1299" s="1219"/>
      <c r="G1299" s="1219"/>
      <c r="H1299" s="1219"/>
      <c r="I1299" s="1219"/>
      <c r="J1299" s="1219"/>
      <c r="K1299" s="1219"/>
      <c r="L1299" s="738"/>
      <c r="M1299" s="744"/>
    </row>
    <row r="1300" spans="1:15" hidden="1">
      <c r="B1300" s="1219" t="s">
        <v>278</v>
      </c>
      <c r="C1300" s="738"/>
      <c r="D1300" s="745"/>
      <c r="E1300" s="1000" t="s">
        <v>190</v>
      </c>
      <c r="F1300" s="1219">
        <v>400</v>
      </c>
      <c r="G1300" s="1000" t="s">
        <v>46</v>
      </c>
      <c r="H1300" s="738" t="s">
        <v>279</v>
      </c>
      <c r="I1300" s="1219">
        <f>F1300*1.05</f>
        <v>420</v>
      </c>
      <c r="J1300" s="1000" t="s">
        <v>242</v>
      </c>
      <c r="K1300" s="1016">
        <f>ROUND($J$1166/1000,2)</f>
        <v>2.89</v>
      </c>
      <c r="L1300" s="1311" t="s">
        <v>190</v>
      </c>
      <c r="M1300" s="837">
        <f>ROUND(I1300*K1300,2)</f>
        <v>1213.8</v>
      </c>
      <c r="N1300" s="1311" t="s">
        <v>183</v>
      </c>
      <c r="O1300" s="667" t="s">
        <v>193</v>
      </c>
    </row>
    <row r="1301" spans="1:15" hidden="1">
      <c r="B1301" s="1219" t="s">
        <v>189</v>
      </c>
      <c r="C1301" s="738"/>
      <c r="D1301" s="745"/>
      <c r="E1301" s="1000" t="s">
        <v>190</v>
      </c>
      <c r="F1301" s="1219">
        <v>1</v>
      </c>
      <c r="G1301" s="1000" t="s">
        <v>6</v>
      </c>
      <c r="H1301" s="738" t="s">
        <v>280</v>
      </c>
      <c r="I1301" s="1219">
        <f>F1301*1.2</f>
        <v>1.2</v>
      </c>
      <c r="J1301" s="1000" t="s">
        <v>251</v>
      </c>
      <c r="K1301" s="1016">
        <f>$J$1172</f>
        <v>437.27</v>
      </c>
      <c r="L1301" s="1311" t="s">
        <v>190</v>
      </c>
      <c r="M1301" s="837">
        <f>ROUND(I1301*K1301,2)</f>
        <v>524.72</v>
      </c>
      <c r="N1301" s="1311" t="s">
        <v>183</v>
      </c>
      <c r="O1301" s="667" t="s">
        <v>234</v>
      </c>
    </row>
    <row r="1302" spans="1:15" hidden="1">
      <c r="B1302" s="1219" t="s">
        <v>281</v>
      </c>
      <c r="C1302" s="738"/>
      <c r="D1302" s="745"/>
      <c r="E1302" s="1000" t="s">
        <v>190</v>
      </c>
      <c r="F1302" s="1219">
        <v>0</v>
      </c>
      <c r="G1302" s="1000" t="s">
        <v>6</v>
      </c>
      <c r="H1302" s="738" t="s">
        <v>282</v>
      </c>
      <c r="I1302" s="1219">
        <f>F1302*1.15</f>
        <v>0</v>
      </c>
      <c r="J1302" s="1000" t="s">
        <v>251</v>
      </c>
      <c r="K1302" s="1016">
        <v>0</v>
      </c>
      <c r="L1302" s="1311" t="s">
        <v>190</v>
      </c>
      <c r="M1302" s="837">
        <f>ROUND(I1302*K1302,2)</f>
        <v>0</v>
      </c>
      <c r="N1302" s="1311" t="s">
        <v>183</v>
      </c>
      <c r="O1302" s="667" t="s">
        <v>239</v>
      </c>
    </row>
    <row r="1303" spans="1:15" hidden="1">
      <c r="B1303" s="1219" t="s">
        <v>289</v>
      </c>
      <c r="C1303" s="738"/>
      <c r="D1303" s="745"/>
      <c r="E1303" s="1000" t="s">
        <v>190</v>
      </c>
      <c r="F1303" s="1219"/>
      <c r="H1303" s="744"/>
      <c r="I1303" s="1219">
        <v>1</v>
      </c>
      <c r="J1303" s="1000" t="s">
        <v>251</v>
      </c>
      <c r="K1303" s="1016">
        <v>100</v>
      </c>
      <c r="L1303" s="1311" t="s">
        <v>190</v>
      </c>
      <c r="M1303" s="837">
        <f>ROUND(I1303*K1303,0)</f>
        <v>100</v>
      </c>
      <c r="N1303" s="1311" t="s">
        <v>183</v>
      </c>
      <c r="O1303" s="744" t="s">
        <v>240</v>
      </c>
    </row>
    <row r="1304" spans="1:15" hidden="1">
      <c r="B1304" s="1219" t="s">
        <v>26</v>
      </c>
      <c r="C1304" s="1012"/>
      <c r="D1304" s="837"/>
      <c r="E1304" s="1000"/>
      <c r="F1304" s="1219"/>
      <c r="H1304" s="744"/>
      <c r="I1304" s="744"/>
      <c r="J1304" s="1219"/>
      <c r="K1304" s="837"/>
      <c r="L1304" s="1311" t="s">
        <v>190</v>
      </c>
      <c r="M1304" s="837">
        <f>ROUND(SUM(M1300:M1303),2)</f>
        <v>1838.52</v>
      </c>
      <c r="N1304" s="1311" t="s">
        <v>183</v>
      </c>
      <c r="O1304" s="744" t="s">
        <v>290</v>
      </c>
    </row>
    <row r="1305" spans="1:15" hidden="1">
      <c r="B1305" s="1219" t="s">
        <v>266</v>
      </c>
      <c r="C1305" s="1012"/>
      <c r="D1305" s="837"/>
      <c r="E1305" s="1000"/>
      <c r="F1305" s="1219"/>
      <c r="H1305" s="744"/>
      <c r="I1305" s="744"/>
      <c r="J1305" s="1219"/>
      <c r="K1305" s="837"/>
      <c r="L1305" s="1311" t="s">
        <v>190</v>
      </c>
      <c r="M1305" s="837">
        <f>ROUNDDOWN(M1304,0)</f>
        <v>1838</v>
      </c>
      <c r="N1305" s="1311" t="s">
        <v>183</v>
      </c>
      <c r="O1305" s="744" t="s">
        <v>291</v>
      </c>
    </row>
    <row r="1306" spans="1:15" hidden="1">
      <c r="B1306" s="1219"/>
      <c r="C1306" s="1012"/>
      <c r="D1306" s="837"/>
      <c r="E1306" s="1000"/>
      <c r="F1306" s="1219"/>
      <c r="H1306" s="744"/>
      <c r="I1306" s="744"/>
      <c r="J1306" s="1219"/>
      <c r="K1306" s="837"/>
      <c r="L1306" s="1311"/>
      <c r="M1306" s="837"/>
      <c r="N1306" s="1311"/>
      <c r="O1306" s="744"/>
    </row>
    <row r="1307" spans="1:15" hidden="1">
      <c r="A1307" s="1003">
        <v>2</v>
      </c>
      <c r="B1307" s="1307" t="s">
        <v>293</v>
      </c>
      <c r="C1307" s="1312"/>
      <c r="D1307" s="972"/>
      <c r="E1307" s="1026"/>
      <c r="F1307" s="1313"/>
      <c r="G1307" s="1026"/>
      <c r="H1307" s="1312"/>
      <c r="I1307" s="1312"/>
      <c r="J1307" s="1312"/>
      <c r="K1307" s="1277"/>
      <c r="L1307" s="1312"/>
      <c r="M1307" s="1312"/>
    </row>
    <row r="1308" spans="1:15" hidden="1">
      <c r="A1308" s="1312"/>
      <c r="B1308" s="1307" t="s">
        <v>294</v>
      </c>
      <c r="C1308" s="1312"/>
      <c r="D1308" s="972"/>
      <c r="E1308" s="1312"/>
      <c r="F1308" s="1026"/>
      <c r="G1308" s="1026"/>
    </row>
    <row r="1309" spans="1:15" hidden="1">
      <c r="A1309" s="1312"/>
      <c r="B1309" s="1312" t="s">
        <v>129</v>
      </c>
      <c r="C1309" s="1312"/>
      <c r="D1309" s="972"/>
      <c r="E1309" s="1312"/>
      <c r="H1309" s="1000" t="s">
        <v>190</v>
      </c>
      <c r="I1309" s="1000"/>
      <c r="J1309" s="1219">
        <f>ข้อมูลแหล่งราคาวัสดุ!D28</f>
        <v>22299.4</v>
      </c>
      <c r="K1309" s="745" t="s">
        <v>182</v>
      </c>
      <c r="L1309" s="843" t="s">
        <v>193</v>
      </c>
      <c r="M1309" s="843"/>
      <c r="N1309" s="1312"/>
    </row>
    <row r="1310" spans="1:15" hidden="1">
      <c r="A1310" s="1312"/>
      <c r="B1310" s="1312" t="s">
        <v>136</v>
      </c>
      <c r="C1310" s="1312"/>
      <c r="D1310" s="972"/>
      <c r="E1310" s="1312"/>
      <c r="F1310" s="1219">
        <f>ข้อมูลแหล่งราคาวัสดุ!E28</f>
        <v>20</v>
      </c>
      <c r="G1310" s="1000" t="s">
        <v>181</v>
      </c>
      <c r="H1310" s="1000" t="s">
        <v>190</v>
      </c>
      <c r="I1310" s="1000"/>
      <c r="J1310" s="1219">
        <f>ข้อมูลแหล่งราคาวัสดุ!I28</f>
        <v>27.61</v>
      </c>
      <c r="K1310" s="745" t="s">
        <v>182</v>
      </c>
      <c r="L1310" s="843" t="s">
        <v>234</v>
      </c>
      <c r="M1310" s="1312" t="s">
        <v>235</v>
      </c>
      <c r="N1310" s="1312"/>
      <c r="O1310" s="1312"/>
    </row>
    <row r="1311" spans="1:15" hidden="1">
      <c r="A1311" s="1312"/>
      <c r="B1311" s="1312" t="s">
        <v>273</v>
      </c>
      <c r="C1311" s="1312"/>
      <c r="D1311" s="972"/>
      <c r="E1311" s="1312"/>
      <c r="F1311" s="1219"/>
      <c r="H1311" s="1000" t="s">
        <v>190</v>
      </c>
      <c r="I1311" s="1000"/>
      <c r="J1311" s="1219">
        <v>80</v>
      </c>
      <c r="K1311" s="745" t="s">
        <v>182</v>
      </c>
      <c r="L1311" s="843" t="s">
        <v>239</v>
      </c>
      <c r="M1311" s="1312"/>
      <c r="N1311" s="1312"/>
    </row>
    <row r="1312" spans="1:15" hidden="1">
      <c r="A1312" s="1312"/>
      <c r="B1312" s="1312" t="s">
        <v>295</v>
      </c>
      <c r="C1312" s="1312"/>
      <c r="D1312" s="972"/>
      <c r="E1312" s="1312"/>
      <c r="F1312" s="1000"/>
      <c r="H1312" s="1000" t="s">
        <v>190</v>
      </c>
      <c r="I1312" s="1000"/>
      <c r="J1312" s="1219">
        <f>SUM(J1309:J1311)</f>
        <v>22407.010000000002</v>
      </c>
      <c r="K1312" s="745" t="s">
        <v>182</v>
      </c>
      <c r="L1312" s="843" t="s">
        <v>296</v>
      </c>
      <c r="M1312" s="1312"/>
      <c r="N1312" s="1312"/>
    </row>
    <row r="1313" spans="1:15" hidden="1">
      <c r="A1313" s="1312"/>
      <c r="B1313" s="1312" t="s">
        <v>297</v>
      </c>
      <c r="C1313" s="1312"/>
      <c r="D1313" s="972"/>
      <c r="E1313" s="1312"/>
      <c r="F1313" s="1000"/>
      <c r="H1313" s="1000" t="s">
        <v>190</v>
      </c>
      <c r="I1313" s="1000"/>
      <c r="J1313" s="1219">
        <f>ROUND(J1312/1000,2)</f>
        <v>22.41</v>
      </c>
      <c r="K1313" s="745" t="s">
        <v>298</v>
      </c>
      <c r="L1313" s="843" t="s">
        <v>299</v>
      </c>
      <c r="M1313" s="1312"/>
      <c r="N1313" s="1312"/>
    </row>
    <row r="1314" spans="1:15" hidden="1">
      <c r="A1314" s="1312"/>
      <c r="B1314" s="1312" t="s">
        <v>266</v>
      </c>
      <c r="C1314" s="1314"/>
      <c r="D1314" s="745"/>
      <c r="E1314" s="1312"/>
      <c r="F1314" s="1000"/>
      <c r="G1314" s="1219"/>
      <c r="H1314" s="1000" t="s">
        <v>190</v>
      </c>
      <c r="I1314" s="1000"/>
      <c r="J1314" s="1219">
        <f>ROUNDDOWN(J1313,2)</f>
        <v>22.41</v>
      </c>
      <c r="K1314" s="745" t="s">
        <v>298</v>
      </c>
      <c r="L1314" s="843" t="s">
        <v>291</v>
      </c>
      <c r="M1314" s="1312"/>
      <c r="N1314" s="1312"/>
    </row>
    <row r="1315" spans="1:15" hidden="1">
      <c r="A1315" s="1312"/>
      <c r="B1315" s="1312"/>
      <c r="C1315" s="1312"/>
      <c r="D1315" s="972"/>
      <c r="E1315" s="1026"/>
      <c r="F1315" s="1219"/>
      <c r="G1315" s="1219"/>
      <c r="H1315" s="1219"/>
      <c r="I1315" s="1219"/>
      <c r="J1315" s="1219"/>
      <c r="K1315" s="745"/>
      <c r="L1315" s="1312"/>
      <c r="M1315" s="1312"/>
      <c r="N1315" s="1312"/>
    </row>
    <row r="1316" spans="1:15" hidden="1">
      <c r="A1316" s="1312"/>
      <c r="B1316" s="1307" t="s">
        <v>300</v>
      </c>
      <c r="C1316" s="1312"/>
      <c r="D1316" s="972"/>
      <c r="E1316" s="1312"/>
      <c r="F1316" s="1315"/>
      <c r="H1316" s="1219"/>
      <c r="I1316" s="1219"/>
      <c r="J1316" s="1219"/>
      <c r="K1316" s="745"/>
      <c r="L1316" s="1312"/>
      <c r="M1316" s="1312"/>
      <c r="N1316" s="1312"/>
    </row>
    <row r="1317" spans="1:15" hidden="1">
      <c r="A1317" s="1312"/>
      <c r="B1317" s="1312" t="s">
        <v>129</v>
      </c>
      <c r="C1317" s="1312"/>
      <c r="D1317" s="972"/>
      <c r="E1317" s="1312"/>
      <c r="F1317" s="1000"/>
      <c r="H1317" s="1000" t="s">
        <v>190</v>
      </c>
      <c r="I1317" s="1000"/>
      <c r="J1317" s="1219">
        <f>ข้อมูลแหล่งราคาวัสดุ!D29</f>
        <v>21326.77</v>
      </c>
      <c r="K1317" s="745" t="s">
        <v>182</v>
      </c>
      <c r="L1317" s="843" t="s">
        <v>193</v>
      </c>
      <c r="M1317" s="1312"/>
      <c r="N1317" s="1312"/>
    </row>
    <row r="1318" spans="1:15" hidden="1">
      <c r="A1318" s="1312"/>
      <c r="B1318" s="1312" t="s">
        <v>136</v>
      </c>
      <c r="C1318" s="1312"/>
      <c r="D1318" s="972"/>
      <c r="E1318" s="1312"/>
      <c r="F1318" s="1219">
        <f>F1310</f>
        <v>20</v>
      </c>
      <c r="G1318" s="1000" t="s">
        <v>181</v>
      </c>
      <c r="H1318" s="1000" t="s">
        <v>190</v>
      </c>
      <c r="I1318" s="1000"/>
      <c r="J1318" s="1219">
        <f>J1310</f>
        <v>27.61</v>
      </c>
      <c r="K1318" s="745" t="s">
        <v>182</v>
      </c>
      <c r="L1318" s="843" t="s">
        <v>234</v>
      </c>
      <c r="M1318" s="1312" t="s">
        <v>235</v>
      </c>
      <c r="N1318" s="1312"/>
    </row>
    <row r="1319" spans="1:15" hidden="1">
      <c r="A1319" s="1312"/>
      <c r="B1319" s="1312" t="s">
        <v>273</v>
      </c>
      <c r="C1319" s="1312"/>
      <c r="D1319" s="972"/>
      <c r="E1319" s="1312"/>
      <c r="F1319" s="1219"/>
      <c r="H1319" s="1000" t="s">
        <v>190</v>
      </c>
      <c r="I1319" s="1000"/>
      <c r="J1319" s="1219">
        <v>80</v>
      </c>
      <c r="K1319" s="745" t="s">
        <v>182</v>
      </c>
      <c r="L1319" s="843" t="s">
        <v>239</v>
      </c>
      <c r="M1319" s="843"/>
      <c r="N1319" s="1312"/>
    </row>
    <row r="1320" spans="1:15" hidden="1">
      <c r="A1320" s="1312"/>
      <c r="B1320" s="1312" t="s">
        <v>295</v>
      </c>
      <c r="C1320" s="1312"/>
      <c r="D1320" s="972"/>
      <c r="E1320" s="1312"/>
      <c r="F1320" s="1000"/>
      <c r="H1320" s="1000" t="s">
        <v>190</v>
      </c>
      <c r="I1320" s="1000"/>
      <c r="J1320" s="1219">
        <f>SUM(J1317:J1319)</f>
        <v>21434.38</v>
      </c>
      <c r="K1320" s="745" t="s">
        <v>182</v>
      </c>
      <c r="L1320" s="843" t="s">
        <v>296</v>
      </c>
      <c r="M1320" s="843"/>
      <c r="N1320" s="1312"/>
      <c r="O1320" s="1312"/>
    </row>
    <row r="1321" spans="1:15" hidden="1">
      <c r="A1321" s="1312"/>
      <c r="B1321" s="1312" t="s">
        <v>297</v>
      </c>
      <c r="C1321" s="1312"/>
      <c r="D1321" s="972"/>
      <c r="E1321" s="1312"/>
      <c r="F1321" s="1000"/>
      <c r="H1321" s="1000" t="s">
        <v>190</v>
      </c>
      <c r="I1321" s="1000"/>
      <c r="J1321" s="1219">
        <f>ROUND(J1320/1000,2)</f>
        <v>21.43</v>
      </c>
      <c r="K1321" s="745" t="s">
        <v>298</v>
      </c>
      <c r="L1321" s="843" t="s">
        <v>299</v>
      </c>
      <c r="M1321" s="843"/>
      <c r="N1321" s="1312"/>
      <c r="O1321" s="1312"/>
    </row>
    <row r="1322" spans="1:15" hidden="1">
      <c r="A1322" s="1312"/>
      <c r="B1322" s="1312" t="s">
        <v>266</v>
      </c>
      <c r="C1322" s="1314"/>
      <c r="D1322" s="745"/>
      <c r="E1322" s="1312"/>
      <c r="F1322" s="1000"/>
      <c r="G1322" s="1219"/>
      <c r="H1322" s="1000" t="s">
        <v>190</v>
      </c>
      <c r="I1322" s="1000"/>
      <c r="J1322" s="1219">
        <f>ROUNDDOWN(J1321,2)</f>
        <v>21.43</v>
      </c>
      <c r="K1322" s="745" t="s">
        <v>298</v>
      </c>
      <c r="L1322" s="843" t="s">
        <v>291</v>
      </c>
      <c r="M1322" s="843"/>
      <c r="N1322" s="1312"/>
      <c r="O1322" s="1312"/>
    </row>
    <row r="1323" spans="1:15" hidden="1">
      <c r="A1323" s="1312"/>
      <c r="B1323" s="1312"/>
      <c r="C1323" s="1312"/>
      <c r="D1323" s="972"/>
      <c r="E1323" s="1026"/>
      <c r="F1323" s="1219"/>
      <c r="G1323" s="1219"/>
      <c r="H1323" s="1219"/>
      <c r="I1323" s="1219"/>
      <c r="J1323" s="1219"/>
      <c r="K1323" s="745"/>
      <c r="L1323" s="1312"/>
      <c r="M1323" s="1312"/>
      <c r="N1323" s="1312"/>
      <c r="O1323" s="1312"/>
    </row>
    <row r="1324" spans="1:15" hidden="1">
      <c r="A1324" s="1312"/>
      <c r="B1324" s="1307" t="s">
        <v>301</v>
      </c>
      <c r="C1324" s="1312"/>
      <c r="D1324" s="972"/>
      <c r="E1324" s="1312"/>
      <c r="F1324" s="1315"/>
      <c r="H1324" s="1219"/>
      <c r="I1324" s="1219"/>
      <c r="J1324" s="1219"/>
      <c r="K1324" s="745"/>
      <c r="L1324" s="1312"/>
      <c r="M1324" s="1312"/>
      <c r="N1324" s="1312"/>
      <c r="O1324" s="1312"/>
    </row>
    <row r="1325" spans="1:15" hidden="1">
      <c r="A1325" s="1312"/>
      <c r="B1325" s="1312" t="s">
        <v>129</v>
      </c>
      <c r="C1325" s="1312"/>
      <c r="D1325" s="972"/>
      <c r="E1325" s="1312"/>
      <c r="F1325" s="1000"/>
      <c r="H1325" s="1000" t="s">
        <v>190</v>
      </c>
      <c r="I1325" s="1000"/>
      <c r="J1325" s="1219">
        <f>ข้อมูลแหล่งราคาวัสดุ!D30</f>
        <v>21138.69</v>
      </c>
      <c r="K1325" s="745" t="s">
        <v>182</v>
      </c>
      <c r="L1325" s="843" t="s">
        <v>193</v>
      </c>
      <c r="M1325" s="843"/>
      <c r="N1325" s="1312"/>
      <c r="O1325" s="1312"/>
    </row>
    <row r="1326" spans="1:15" hidden="1">
      <c r="A1326" s="1312"/>
      <c r="B1326" s="1312" t="s">
        <v>136</v>
      </c>
      <c r="C1326" s="1312"/>
      <c r="D1326" s="972"/>
      <c r="E1326" s="1312"/>
      <c r="F1326" s="1219">
        <f>F1310</f>
        <v>20</v>
      </c>
      <c r="G1326" s="1000" t="s">
        <v>181</v>
      </c>
      <c r="H1326" s="1000" t="s">
        <v>190</v>
      </c>
      <c r="I1326" s="1000"/>
      <c r="J1326" s="1219">
        <f>J1318</f>
        <v>27.61</v>
      </c>
      <c r="K1326" s="745" t="s">
        <v>182</v>
      </c>
      <c r="L1326" s="843" t="s">
        <v>234</v>
      </c>
      <c r="M1326" s="1312" t="s">
        <v>235</v>
      </c>
      <c r="N1326" s="1312"/>
      <c r="O1326" s="1312"/>
    </row>
    <row r="1327" spans="1:15" hidden="1">
      <c r="A1327" s="1312"/>
      <c r="B1327" s="1312" t="s">
        <v>273</v>
      </c>
      <c r="C1327" s="1312"/>
      <c r="D1327" s="972"/>
      <c r="E1327" s="1312"/>
      <c r="F1327" s="1219"/>
      <c r="H1327" s="1000" t="s">
        <v>190</v>
      </c>
      <c r="I1327" s="1000"/>
      <c r="J1327" s="1219">
        <v>80</v>
      </c>
      <c r="K1327" s="745" t="s">
        <v>182</v>
      </c>
      <c r="L1327" s="843" t="s">
        <v>239</v>
      </c>
      <c r="M1327" s="1312"/>
      <c r="N1327" s="1312"/>
    </row>
    <row r="1328" spans="1:15" hidden="1">
      <c r="A1328" s="1312"/>
      <c r="B1328" s="1312" t="s">
        <v>295</v>
      </c>
      <c r="C1328" s="1312"/>
      <c r="D1328" s="972"/>
      <c r="E1328" s="1312"/>
      <c r="F1328" s="1000"/>
      <c r="H1328" s="1000" t="s">
        <v>190</v>
      </c>
      <c r="I1328" s="1000"/>
      <c r="J1328" s="1219">
        <f>SUM(J1325:J1327)</f>
        <v>21246.3</v>
      </c>
      <c r="K1328" s="745" t="s">
        <v>182</v>
      </c>
      <c r="L1328" s="843" t="s">
        <v>296</v>
      </c>
      <c r="M1328" s="1312"/>
      <c r="N1328" s="1312"/>
    </row>
    <row r="1329" spans="1:15" hidden="1">
      <c r="A1329" s="1312"/>
      <c r="B1329" s="1312" t="s">
        <v>297</v>
      </c>
      <c r="C1329" s="1312"/>
      <c r="D1329" s="972"/>
      <c r="E1329" s="1312"/>
      <c r="F1329" s="1000"/>
      <c r="H1329" s="1000" t="s">
        <v>190</v>
      </c>
      <c r="I1329" s="1000"/>
      <c r="J1329" s="1219">
        <f>ROUND(J1328/1000,2)</f>
        <v>21.25</v>
      </c>
      <c r="K1329" s="745" t="s">
        <v>298</v>
      </c>
      <c r="L1329" s="843" t="s">
        <v>299</v>
      </c>
      <c r="M1329" s="1312"/>
      <c r="N1329" s="1312"/>
    </row>
    <row r="1330" spans="1:15" hidden="1">
      <c r="A1330" s="1312"/>
      <c r="B1330" s="1312" t="s">
        <v>266</v>
      </c>
      <c r="C1330" s="1314"/>
      <c r="D1330" s="745"/>
      <c r="E1330" s="1312"/>
      <c r="F1330" s="1000"/>
      <c r="G1330" s="1219"/>
      <c r="H1330" s="1000" t="s">
        <v>190</v>
      </c>
      <c r="I1330" s="1000"/>
      <c r="J1330" s="1219">
        <f>ROUNDDOWN(J1329,2)</f>
        <v>21.25</v>
      </c>
      <c r="K1330" s="745" t="s">
        <v>298</v>
      </c>
      <c r="L1330" s="843" t="s">
        <v>291</v>
      </c>
      <c r="M1330" s="1312"/>
      <c r="N1330" s="1312"/>
    </row>
    <row r="1331" spans="1:15" hidden="1">
      <c r="A1331" s="1312"/>
      <c r="B1331" s="1312"/>
      <c r="C1331" s="1312"/>
      <c r="D1331" s="972"/>
      <c r="E1331" s="1026"/>
      <c r="F1331" s="1219"/>
      <c r="G1331" s="1219"/>
      <c r="H1331" s="1219"/>
      <c r="I1331" s="1219"/>
      <c r="J1331" s="1219"/>
      <c r="K1331" s="745"/>
      <c r="L1331" s="1312"/>
      <c r="M1331" s="1312"/>
      <c r="N1331" s="1312"/>
    </row>
    <row r="1332" spans="1:15" hidden="1">
      <c r="A1332" s="1312"/>
      <c r="B1332" s="1307" t="s">
        <v>302</v>
      </c>
      <c r="C1332" s="1312"/>
      <c r="D1332" s="972"/>
      <c r="E1332" s="1312"/>
      <c r="F1332" s="1315"/>
      <c r="H1332" s="1219"/>
      <c r="I1332" s="1219"/>
      <c r="J1332" s="1219"/>
      <c r="K1332" s="745"/>
      <c r="L1332" s="1312"/>
      <c r="M1332" s="1312"/>
      <c r="N1332" s="1312"/>
    </row>
    <row r="1333" spans="1:15" hidden="1">
      <c r="A1333" s="1312"/>
      <c r="B1333" s="1312" t="s">
        <v>129</v>
      </c>
      <c r="C1333" s="1312"/>
      <c r="D1333" s="972"/>
      <c r="E1333" s="1312"/>
      <c r="F1333" s="1000"/>
      <c r="H1333" s="1000" t="s">
        <v>190</v>
      </c>
      <c r="I1333" s="1000"/>
      <c r="J1333" s="1219">
        <f>ข้อมูลแหล่งราคาวัสดุ!D31</f>
        <v>21670.080000000002</v>
      </c>
      <c r="K1333" s="745" t="s">
        <v>182</v>
      </c>
      <c r="L1333" s="843" t="s">
        <v>193</v>
      </c>
      <c r="M1333" s="1312"/>
      <c r="N1333" s="1312"/>
    </row>
    <row r="1334" spans="1:15" hidden="1">
      <c r="A1334" s="1312"/>
      <c r="B1334" s="1312" t="s">
        <v>136</v>
      </c>
      <c r="C1334" s="1312"/>
      <c r="D1334" s="972"/>
      <c r="E1334" s="1312"/>
      <c r="F1334" s="1219">
        <f>F1326</f>
        <v>20</v>
      </c>
      <c r="G1334" s="1000" t="s">
        <v>181</v>
      </c>
      <c r="H1334" s="1000" t="s">
        <v>190</v>
      </c>
      <c r="I1334" s="1000"/>
      <c r="J1334" s="1219">
        <f>J1326</f>
        <v>27.61</v>
      </c>
      <c r="K1334" s="745" t="s">
        <v>182</v>
      </c>
      <c r="L1334" s="843" t="s">
        <v>234</v>
      </c>
      <c r="M1334" s="1312" t="s">
        <v>235</v>
      </c>
      <c r="N1334" s="1312"/>
    </row>
    <row r="1335" spans="1:15" hidden="1">
      <c r="A1335" s="1312"/>
      <c r="B1335" s="1312" t="s">
        <v>273</v>
      </c>
      <c r="C1335" s="1312"/>
      <c r="D1335" s="972"/>
      <c r="E1335" s="1312"/>
      <c r="F1335" s="1219"/>
      <c r="H1335" s="1000" t="s">
        <v>190</v>
      </c>
      <c r="I1335" s="1000"/>
      <c r="J1335" s="1219">
        <v>80</v>
      </c>
      <c r="K1335" s="745" t="s">
        <v>182</v>
      </c>
      <c r="L1335" s="843" t="s">
        <v>239</v>
      </c>
      <c r="M1335" s="843"/>
      <c r="N1335" s="1312"/>
    </row>
    <row r="1336" spans="1:15" hidden="1">
      <c r="A1336" s="1312"/>
      <c r="B1336" s="1312" t="s">
        <v>295</v>
      </c>
      <c r="C1336" s="1312"/>
      <c r="D1336" s="972"/>
      <c r="E1336" s="1312"/>
      <c r="F1336" s="1000"/>
      <c r="H1336" s="1000" t="s">
        <v>190</v>
      </c>
      <c r="I1336" s="1000"/>
      <c r="J1336" s="1219">
        <f>SUM(J1333:J1335)</f>
        <v>21777.690000000002</v>
      </c>
      <c r="K1336" s="745" t="s">
        <v>182</v>
      </c>
      <c r="L1336" s="843" t="s">
        <v>296</v>
      </c>
      <c r="M1336" s="843"/>
      <c r="N1336" s="1312"/>
      <c r="O1336" s="1312"/>
    </row>
    <row r="1337" spans="1:15" hidden="1">
      <c r="A1337" s="1312"/>
      <c r="B1337" s="1312" t="s">
        <v>297</v>
      </c>
      <c r="C1337" s="1312"/>
      <c r="D1337" s="972"/>
      <c r="E1337" s="1312"/>
      <c r="F1337" s="1000"/>
      <c r="H1337" s="1000" t="s">
        <v>190</v>
      </c>
      <c r="I1337" s="1000"/>
      <c r="J1337" s="1219">
        <f>ROUND(J1336/1000,2)</f>
        <v>21.78</v>
      </c>
      <c r="K1337" s="745" t="s">
        <v>298</v>
      </c>
      <c r="L1337" s="843" t="s">
        <v>299</v>
      </c>
      <c r="M1337" s="843"/>
      <c r="N1337" s="1312"/>
      <c r="O1337" s="1312"/>
    </row>
    <row r="1338" spans="1:15" hidden="1">
      <c r="A1338" s="1312"/>
      <c r="B1338" s="1312" t="s">
        <v>266</v>
      </c>
      <c r="C1338" s="1314"/>
      <c r="D1338" s="745"/>
      <c r="E1338" s="1312"/>
      <c r="F1338" s="1000"/>
      <c r="G1338" s="1219"/>
      <c r="H1338" s="1000" t="s">
        <v>190</v>
      </c>
      <c r="I1338" s="1000"/>
      <c r="J1338" s="1219">
        <f>ROUNDDOWN(J1337,2)</f>
        <v>21.78</v>
      </c>
      <c r="K1338" s="745" t="s">
        <v>298</v>
      </c>
      <c r="L1338" s="843" t="s">
        <v>291</v>
      </c>
      <c r="M1338" s="843"/>
      <c r="N1338" s="1312"/>
      <c r="O1338" s="1312"/>
    </row>
    <row r="1339" spans="1:15" hidden="1">
      <c r="A1339" s="1312"/>
      <c r="B1339" s="1312"/>
      <c r="C1339" s="1312"/>
      <c r="D1339" s="972"/>
      <c r="E1339" s="1026"/>
      <c r="F1339" s="1219"/>
      <c r="G1339" s="1219"/>
      <c r="H1339" s="1219"/>
      <c r="I1339" s="1219"/>
      <c r="J1339" s="1219"/>
      <c r="K1339" s="745"/>
      <c r="L1339" s="1312"/>
      <c r="M1339" s="1312"/>
      <c r="N1339" s="1312"/>
      <c r="O1339" s="1312"/>
    </row>
    <row r="1340" spans="1:15" hidden="1">
      <c r="A1340" s="1312"/>
      <c r="B1340" s="1307" t="s">
        <v>303</v>
      </c>
      <c r="C1340" s="1312"/>
      <c r="D1340" s="972"/>
      <c r="E1340" s="1312"/>
      <c r="F1340" s="1315"/>
      <c r="H1340" s="1219"/>
      <c r="I1340" s="1219"/>
      <c r="J1340" s="1219"/>
      <c r="K1340" s="745"/>
      <c r="L1340" s="1312"/>
      <c r="M1340" s="1312"/>
      <c r="N1340" s="1312"/>
      <c r="O1340" s="1312"/>
    </row>
    <row r="1341" spans="1:15" hidden="1">
      <c r="A1341" s="1312"/>
      <c r="B1341" s="1312" t="s">
        <v>129</v>
      </c>
      <c r="C1341" s="1312"/>
      <c r="D1341" s="972"/>
      <c r="E1341" s="1312"/>
      <c r="F1341" s="1000"/>
      <c r="H1341" s="1000" t="s">
        <v>190</v>
      </c>
      <c r="I1341" s="1000"/>
      <c r="J1341" s="1219">
        <f>ข้อมูลแหล่งราคาวัสดุ!D32</f>
        <v>24498.36</v>
      </c>
      <c r="K1341" s="745" t="s">
        <v>182</v>
      </c>
      <c r="L1341" s="843" t="s">
        <v>193</v>
      </c>
      <c r="M1341" s="843"/>
      <c r="N1341" s="1312"/>
      <c r="O1341" s="1312"/>
    </row>
    <row r="1342" spans="1:15" hidden="1">
      <c r="A1342" s="1312"/>
      <c r="B1342" s="1312" t="s">
        <v>136</v>
      </c>
      <c r="C1342" s="1312"/>
      <c r="D1342" s="972"/>
      <c r="E1342" s="1312"/>
      <c r="F1342" s="1219">
        <f>F1334</f>
        <v>20</v>
      </c>
      <c r="G1342" s="1000" t="s">
        <v>181</v>
      </c>
      <c r="H1342" s="1000" t="s">
        <v>190</v>
      </c>
      <c r="I1342" s="1000"/>
      <c r="J1342" s="1219">
        <f>J1334</f>
        <v>27.61</v>
      </c>
      <c r="K1342" s="745" t="s">
        <v>182</v>
      </c>
      <c r="L1342" s="843" t="s">
        <v>234</v>
      </c>
      <c r="M1342" s="1312" t="s">
        <v>235</v>
      </c>
      <c r="N1342" s="1312"/>
      <c r="O1342" s="1312"/>
    </row>
    <row r="1343" spans="1:15" hidden="1">
      <c r="A1343" s="1312"/>
      <c r="B1343" s="1312" t="s">
        <v>273</v>
      </c>
      <c r="C1343" s="1312"/>
      <c r="D1343" s="972"/>
      <c r="E1343" s="1312"/>
      <c r="F1343" s="1219"/>
      <c r="H1343" s="1000" t="s">
        <v>190</v>
      </c>
      <c r="I1343" s="1000"/>
      <c r="J1343" s="1219">
        <v>80</v>
      </c>
      <c r="K1343" s="745" t="s">
        <v>182</v>
      </c>
      <c r="L1343" s="843" t="s">
        <v>239</v>
      </c>
      <c r="M1343" s="1312"/>
      <c r="N1343" s="1312"/>
    </row>
    <row r="1344" spans="1:15" hidden="1">
      <c r="A1344" s="1312"/>
      <c r="B1344" s="1312" t="s">
        <v>295</v>
      </c>
      <c r="C1344" s="1312"/>
      <c r="D1344" s="972"/>
      <c r="E1344" s="1312"/>
      <c r="F1344" s="1000"/>
      <c r="H1344" s="1000" t="s">
        <v>190</v>
      </c>
      <c r="I1344" s="1000"/>
      <c r="J1344" s="1219">
        <f>SUM(J1341:J1343)</f>
        <v>24605.97</v>
      </c>
      <c r="K1344" s="745" t="s">
        <v>182</v>
      </c>
      <c r="L1344" s="843" t="s">
        <v>296</v>
      </c>
      <c r="M1344" s="1312"/>
      <c r="N1344" s="1312"/>
    </row>
    <row r="1345" spans="1:15" hidden="1">
      <c r="A1345" s="1312"/>
      <c r="B1345" s="1312" t="s">
        <v>297</v>
      </c>
      <c r="C1345" s="1312"/>
      <c r="D1345" s="972"/>
      <c r="E1345" s="1312"/>
      <c r="F1345" s="1000"/>
      <c r="H1345" s="1000" t="s">
        <v>190</v>
      </c>
      <c r="I1345" s="1000"/>
      <c r="J1345" s="1219">
        <f>ROUND(J1344/1000,2)</f>
        <v>24.61</v>
      </c>
      <c r="K1345" s="745" t="s">
        <v>298</v>
      </c>
      <c r="L1345" s="843" t="s">
        <v>299</v>
      </c>
      <c r="M1345" s="1312"/>
      <c r="N1345" s="1312"/>
    </row>
    <row r="1346" spans="1:15" hidden="1">
      <c r="A1346" s="1312"/>
      <c r="B1346" s="1312" t="s">
        <v>266</v>
      </c>
      <c r="C1346" s="1314"/>
      <c r="D1346" s="745"/>
      <c r="E1346" s="1312"/>
      <c r="F1346" s="1000"/>
      <c r="G1346" s="1219"/>
      <c r="H1346" s="1000" t="s">
        <v>190</v>
      </c>
      <c r="I1346" s="1000"/>
      <c r="J1346" s="1219">
        <f>ROUNDDOWN(J1345,2)</f>
        <v>24.61</v>
      </c>
      <c r="K1346" s="745" t="s">
        <v>298</v>
      </c>
      <c r="L1346" s="843" t="s">
        <v>291</v>
      </c>
      <c r="M1346" s="1312"/>
      <c r="N1346" s="1312"/>
    </row>
    <row r="1347" spans="1:15" hidden="1">
      <c r="A1347" s="1312"/>
      <c r="B1347" s="1312"/>
      <c r="C1347" s="1312"/>
      <c r="D1347" s="972"/>
      <c r="E1347" s="1026"/>
      <c r="F1347" s="1219"/>
      <c r="G1347" s="1219"/>
      <c r="H1347" s="1219"/>
      <c r="I1347" s="1219"/>
      <c r="J1347" s="1219"/>
      <c r="K1347" s="745"/>
      <c r="L1347" s="1312"/>
      <c r="M1347" s="1312"/>
      <c r="N1347" s="1312"/>
    </row>
    <row r="1348" spans="1:15" hidden="1">
      <c r="A1348" s="1312"/>
      <c r="B1348" s="1307" t="s">
        <v>304</v>
      </c>
      <c r="C1348" s="1312"/>
      <c r="D1348" s="972"/>
      <c r="E1348" s="1312"/>
      <c r="F1348" s="1315"/>
      <c r="H1348" s="1219"/>
      <c r="I1348" s="1219"/>
      <c r="J1348" s="1219"/>
      <c r="K1348" s="745"/>
      <c r="L1348" s="1312"/>
      <c r="M1348" s="1312"/>
      <c r="N1348" s="1312"/>
    </row>
    <row r="1349" spans="1:15" hidden="1">
      <c r="A1349" s="1312"/>
      <c r="B1349" s="1312" t="s">
        <v>129</v>
      </c>
      <c r="C1349" s="1312"/>
      <c r="D1349" s="972"/>
      <c r="E1349" s="1312"/>
      <c r="F1349" s="1000"/>
      <c r="H1349" s="1000" t="s">
        <v>190</v>
      </c>
      <c r="I1349" s="1000"/>
      <c r="J1349" s="1219">
        <f>ข้อมูลแหล่งราคาวัสดุ!D33</f>
        <v>23576.17</v>
      </c>
      <c r="K1349" s="745" t="s">
        <v>182</v>
      </c>
      <c r="L1349" s="843" t="s">
        <v>193</v>
      </c>
      <c r="M1349" s="1312"/>
      <c r="N1349" s="1312"/>
    </row>
    <row r="1350" spans="1:15" hidden="1">
      <c r="A1350" s="1312"/>
      <c r="B1350" s="1312" t="s">
        <v>136</v>
      </c>
      <c r="C1350" s="1312"/>
      <c r="D1350" s="972"/>
      <c r="E1350" s="1312"/>
      <c r="F1350" s="1219">
        <f>F1342</f>
        <v>20</v>
      </c>
      <c r="G1350" s="1000" t="s">
        <v>181</v>
      </c>
      <c r="H1350" s="1000" t="s">
        <v>190</v>
      </c>
      <c r="I1350" s="1000"/>
      <c r="J1350" s="1219">
        <f>J1342</f>
        <v>27.61</v>
      </c>
      <c r="K1350" s="745" t="s">
        <v>182</v>
      </c>
      <c r="L1350" s="843" t="s">
        <v>234</v>
      </c>
      <c r="M1350" s="1312" t="s">
        <v>235</v>
      </c>
      <c r="N1350" s="1312"/>
    </row>
    <row r="1351" spans="1:15" hidden="1">
      <c r="A1351" s="1312"/>
      <c r="B1351" s="1312" t="s">
        <v>273</v>
      </c>
      <c r="C1351" s="1312"/>
      <c r="D1351" s="972"/>
      <c r="E1351" s="1312"/>
      <c r="F1351" s="1219"/>
      <c r="H1351" s="1000" t="s">
        <v>190</v>
      </c>
      <c r="I1351" s="1000"/>
      <c r="J1351" s="1219">
        <v>80</v>
      </c>
      <c r="K1351" s="745" t="s">
        <v>182</v>
      </c>
      <c r="L1351" s="843" t="s">
        <v>239</v>
      </c>
      <c r="M1351" s="843"/>
      <c r="N1351" s="1312"/>
    </row>
    <row r="1352" spans="1:15" hidden="1">
      <c r="A1352" s="1312"/>
      <c r="B1352" s="1312" t="s">
        <v>295</v>
      </c>
      <c r="C1352" s="1312"/>
      <c r="D1352" s="972"/>
      <c r="E1352" s="1312"/>
      <c r="F1352" s="1000"/>
      <c r="H1352" s="1000" t="s">
        <v>190</v>
      </c>
      <c r="I1352" s="1000"/>
      <c r="J1352" s="1219">
        <f>SUM(J1349:J1351)</f>
        <v>23683.78</v>
      </c>
      <c r="K1352" s="745" t="s">
        <v>182</v>
      </c>
      <c r="L1352" s="843" t="s">
        <v>296</v>
      </c>
      <c r="M1352" s="843"/>
      <c r="N1352" s="1312"/>
      <c r="O1352" s="1312"/>
    </row>
    <row r="1353" spans="1:15" hidden="1">
      <c r="A1353" s="1312"/>
      <c r="B1353" s="1312" t="s">
        <v>297</v>
      </c>
      <c r="C1353" s="1312"/>
      <c r="D1353" s="972"/>
      <c r="E1353" s="1312"/>
      <c r="F1353" s="1000"/>
      <c r="H1353" s="1000" t="s">
        <v>190</v>
      </c>
      <c r="I1353" s="1000"/>
      <c r="J1353" s="1219">
        <f>ROUND(J1352/1000,2)</f>
        <v>23.68</v>
      </c>
      <c r="K1353" s="745" t="s">
        <v>298</v>
      </c>
      <c r="L1353" s="843" t="s">
        <v>299</v>
      </c>
      <c r="M1353" s="843"/>
      <c r="N1353" s="1312"/>
      <c r="O1353" s="1312"/>
    </row>
    <row r="1354" spans="1:15" hidden="1">
      <c r="A1354" s="1312"/>
      <c r="B1354" s="1312" t="s">
        <v>266</v>
      </c>
      <c r="C1354" s="1312"/>
      <c r="D1354" s="972"/>
      <c r="E1354" s="1312"/>
      <c r="F1354" s="1000"/>
      <c r="G1354" s="1219"/>
      <c r="H1354" s="1000" t="s">
        <v>190</v>
      </c>
      <c r="I1354" s="1000"/>
      <c r="J1354" s="1219">
        <f>ROUNDDOWN(J1353,2)</f>
        <v>23.68</v>
      </c>
      <c r="K1354" s="745" t="s">
        <v>298</v>
      </c>
      <c r="L1354" s="843" t="s">
        <v>291</v>
      </c>
      <c r="M1354" s="843"/>
      <c r="N1354" s="1312"/>
      <c r="O1354" s="1312"/>
    </row>
    <row r="1355" spans="1:15" hidden="1">
      <c r="A1355" s="1312"/>
      <c r="B1355" s="1312"/>
      <c r="C1355" s="1312"/>
      <c r="D1355" s="972"/>
      <c r="E1355" s="1312"/>
      <c r="F1355" s="1000"/>
      <c r="G1355" s="1219"/>
      <c r="H1355" s="1000"/>
      <c r="I1355" s="1000"/>
      <c r="J1355" s="1219"/>
      <c r="K1355" s="745"/>
      <c r="L1355" s="843"/>
      <c r="M1355" s="843"/>
      <c r="N1355" s="1312"/>
      <c r="O1355" s="1312"/>
    </row>
    <row r="1356" spans="1:15" hidden="1">
      <c r="A1356" s="1312"/>
      <c r="B1356" s="1307" t="s">
        <v>305</v>
      </c>
      <c r="C1356" s="1312"/>
      <c r="D1356" s="972"/>
      <c r="E1356" s="1312"/>
      <c r="F1356" s="1219"/>
      <c r="G1356" s="1219"/>
      <c r="H1356" s="1219"/>
      <c r="I1356" s="1219"/>
      <c r="J1356" s="1219"/>
      <c r="K1356" s="745"/>
      <c r="L1356" s="1312"/>
      <c r="M1356" s="1312"/>
      <c r="N1356" s="1312"/>
      <c r="O1356" s="1312"/>
    </row>
    <row r="1357" spans="1:15" hidden="1">
      <c r="A1357" s="1312"/>
      <c r="B1357" s="1312" t="s">
        <v>129</v>
      </c>
      <c r="C1357" s="1312"/>
      <c r="D1357" s="972"/>
      <c r="E1357" s="1312"/>
      <c r="F1357" s="1000"/>
      <c r="H1357" s="1000" t="s">
        <v>190</v>
      </c>
      <c r="I1357" s="1000"/>
      <c r="J1357" s="1219">
        <f>ข้อมูลแหล่งราคาวัสดุ!D35</f>
        <v>20261.75</v>
      </c>
      <c r="K1357" s="745" t="s">
        <v>182</v>
      </c>
      <c r="L1357" s="843" t="s">
        <v>193</v>
      </c>
      <c r="M1357" s="843"/>
      <c r="N1357" s="1312"/>
      <c r="O1357" s="1312"/>
    </row>
    <row r="1358" spans="1:15" hidden="1">
      <c r="A1358" s="1312"/>
      <c r="B1358" s="1312" t="s">
        <v>136</v>
      </c>
      <c r="C1358" s="1312"/>
      <c r="D1358" s="972"/>
      <c r="E1358" s="1312"/>
      <c r="F1358" s="1219">
        <f>F1350</f>
        <v>20</v>
      </c>
      <c r="G1358" s="1000" t="s">
        <v>181</v>
      </c>
      <c r="H1358" s="1000" t="s">
        <v>190</v>
      </c>
      <c r="I1358" s="1000"/>
      <c r="J1358" s="1219">
        <f>J1350</f>
        <v>27.61</v>
      </c>
      <c r="K1358" s="745" t="s">
        <v>182</v>
      </c>
      <c r="L1358" s="843" t="s">
        <v>234</v>
      </c>
      <c r="M1358" s="1312" t="s">
        <v>235</v>
      </c>
      <c r="N1358" s="1312"/>
      <c r="O1358" s="1312"/>
    </row>
    <row r="1359" spans="1:15" hidden="1">
      <c r="A1359" s="1312"/>
      <c r="B1359" s="1312" t="s">
        <v>273</v>
      </c>
      <c r="C1359" s="1312"/>
      <c r="D1359" s="972"/>
      <c r="E1359" s="1312"/>
      <c r="F1359" s="1219"/>
      <c r="H1359" s="1000" t="s">
        <v>190</v>
      </c>
      <c r="I1359" s="1000"/>
      <c r="J1359" s="1219">
        <v>80</v>
      </c>
      <c r="K1359" s="745" t="s">
        <v>182</v>
      </c>
      <c r="L1359" s="843" t="s">
        <v>239</v>
      </c>
      <c r="M1359" s="1312"/>
      <c r="N1359" s="1312"/>
    </row>
    <row r="1360" spans="1:15" hidden="1">
      <c r="A1360" s="1312"/>
      <c r="B1360" s="1312" t="s">
        <v>295</v>
      </c>
      <c r="C1360" s="1312"/>
      <c r="D1360" s="972"/>
      <c r="E1360" s="1312"/>
      <c r="F1360" s="1000"/>
      <c r="H1360" s="1000" t="s">
        <v>190</v>
      </c>
      <c r="I1360" s="1000"/>
      <c r="J1360" s="1219">
        <f>SUM(J1357:J1359)</f>
        <v>20369.36</v>
      </c>
      <c r="K1360" s="745" t="s">
        <v>182</v>
      </c>
      <c r="L1360" s="843" t="s">
        <v>296</v>
      </c>
      <c r="M1360" s="1312"/>
      <c r="N1360" s="1312"/>
    </row>
    <row r="1361" spans="1:15" hidden="1">
      <c r="A1361" s="1312"/>
      <c r="B1361" s="1312" t="s">
        <v>297</v>
      </c>
      <c r="C1361" s="1312"/>
      <c r="D1361" s="972"/>
      <c r="E1361" s="1312"/>
      <c r="F1361" s="1000"/>
      <c r="H1361" s="1000" t="s">
        <v>190</v>
      </c>
      <c r="I1361" s="1000"/>
      <c r="J1361" s="1219">
        <f>ROUND(J1360/1000,2)</f>
        <v>20.37</v>
      </c>
      <c r="K1361" s="745" t="s">
        <v>298</v>
      </c>
      <c r="L1361" s="843" t="s">
        <v>299</v>
      </c>
      <c r="M1361" s="1312"/>
      <c r="N1361" s="1312"/>
    </row>
    <row r="1362" spans="1:15" hidden="1">
      <c r="A1362" s="1312"/>
      <c r="B1362" s="1312" t="s">
        <v>266</v>
      </c>
      <c r="C1362" s="1312"/>
      <c r="D1362" s="972"/>
      <c r="E1362" s="1312"/>
      <c r="F1362" s="1000"/>
      <c r="G1362" s="1219"/>
      <c r="H1362" s="1000" t="s">
        <v>190</v>
      </c>
      <c r="I1362" s="1000"/>
      <c r="J1362" s="1219">
        <f>ROUNDDOWN(J1361,2)</f>
        <v>20.37</v>
      </c>
      <c r="K1362" s="745" t="s">
        <v>298</v>
      </c>
      <c r="L1362" s="843" t="s">
        <v>291</v>
      </c>
      <c r="M1362" s="1312"/>
      <c r="N1362" s="1312"/>
    </row>
    <row r="1363" spans="1:15" hidden="1">
      <c r="A1363" s="1312"/>
      <c r="B1363" s="1312"/>
      <c r="C1363" s="1312"/>
      <c r="D1363" s="972"/>
      <c r="E1363" s="1312"/>
      <c r="F1363" s="1219"/>
      <c r="G1363" s="1219"/>
      <c r="H1363" s="1219"/>
      <c r="I1363" s="1219"/>
      <c r="J1363" s="1219"/>
      <c r="K1363" s="745"/>
      <c r="L1363" s="1312"/>
      <c r="M1363" s="1312"/>
      <c r="N1363" s="1312"/>
    </row>
    <row r="1364" spans="1:15" hidden="1">
      <c r="A1364" s="1312"/>
      <c r="B1364" s="1307" t="s">
        <v>306</v>
      </c>
      <c r="C1364" s="1312"/>
      <c r="D1364" s="972"/>
      <c r="E1364" s="1312"/>
      <c r="F1364" s="1219"/>
      <c r="G1364" s="1219"/>
      <c r="H1364" s="1219"/>
      <c r="I1364" s="1219"/>
      <c r="J1364" s="1219"/>
      <c r="K1364" s="745"/>
      <c r="L1364" s="1312"/>
      <c r="M1364" s="1312"/>
      <c r="N1364" s="1312"/>
    </row>
    <row r="1365" spans="1:15" hidden="1">
      <c r="A1365" s="1312"/>
      <c r="B1365" s="1312" t="s">
        <v>129</v>
      </c>
      <c r="C1365" s="1312"/>
      <c r="D1365" s="972"/>
      <c r="E1365" s="1312"/>
      <c r="F1365" s="1000"/>
      <c r="H1365" s="1000" t="s">
        <v>190</v>
      </c>
      <c r="I1365" s="1000"/>
      <c r="J1365" s="1219">
        <f>ข้อมูลแหล่งราคาวัสดุ!D36</f>
        <v>20972.32</v>
      </c>
      <c r="K1365" s="745" t="s">
        <v>182</v>
      </c>
      <c r="L1365" s="843" t="s">
        <v>193</v>
      </c>
      <c r="M1365" s="1312"/>
      <c r="N1365" s="1312"/>
    </row>
    <row r="1366" spans="1:15" hidden="1">
      <c r="A1366" s="1312"/>
      <c r="B1366" s="1312" t="s">
        <v>136</v>
      </c>
      <c r="C1366" s="1312"/>
      <c r="D1366" s="972"/>
      <c r="E1366" s="1312"/>
      <c r="F1366" s="1219">
        <f>F1358</f>
        <v>20</v>
      </c>
      <c r="G1366" s="1000" t="s">
        <v>181</v>
      </c>
      <c r="H1366" s="1000" t="s">
        <v>190</v>
      </c>
      <c r="I1366" s="1000"/>
      <c r="J1366" s="1219">
        <f>J1358</f>
        <v>27.61</v>
      </c>
      <c r="K1366" s="745" t="s">
        <v>182</v>
      </c>
      <c r="L1366" s="843" t="s">
        <v>234</v>
      </c>
      <c r="M1366" s="1312" t="s">
        <v>235</v>
      </c>
      <c r="N1366" s="1312"/>
    </row>
    <row r="1367" spans="1:15" hidden="1">
      <c r="A1367" s="1312"/>
      <c r="B1367" s="1312" t="s">
        <v>273</v>
      </c>
      <c r="C1367" s="1312"/>
      <c r="D1367" s="972"/>
      <c r="E1367" s="1312"/>
      <c r="F1367" s="1219"/>
      <c r="H1367" s="1000" t="s">
        <v>190</v>
      </c>
      <c r="I1367" s="1000"/>
      <c r="J1367" s="1219">
        <v>80</v>
      </c>
      <c r="K1367" s="745" t="s">
        <v>182</v>
      </c>
      <c r="L1367" s="843" t="s">
        <v>239</v>
      </c>
      <c r="M1367" s="843"/>
      <c r="N1367" s="1312"/>
    </row>
    <row r="1368" spans="1:15" hidden="1">
      <c r="A1368" s="1312"/>
      <c r="B1368" s="1312" t="s">
        <v>295</v>
      </c>
      <c r="C1368" s="1312"/>
      <c r="D1368" s="972"/>
      <c r="E1368" s="1312"/>
      <c r="F1368" s="1000"/>
      <c r="H1368" s="1000" t="s">
        <v>190</v>
      </c>
      <c r="I1368" s="1000"/>
      <c r="J1368" s="1219">
        <f>SUM(J1365:J1367)</f>
        <v>21079.93</v>
      </c>
      <c r="K1368" s="745" t="s">
        <v>182</v>
      </c>
      <c r="L1368" s="843" t="s">
        <v>296</v>
      </c>
      <c r="M1368" s="843"/>
      <c r="N1368" s="1312"/>
      <c r="O1368" s="1312"/>
    </row>
    <row r="1369" spans="1:15" hidden="1">
      <c r="A1369" s="1312"/>
      <c r="B1369" s="1312" t="s">
        <v>297</v>
      </c>
      <c r="C1369" s="1312"/>
      <c r="D1369" s="972"/>
      <c r="E1369" s="1312"/>
      <c r="F1369" s="1000"/>
      <c r="H1369" s="1000" t="s">
        <v>190</v>
      </c>
      <c r="I1369" s="1000"/>
      <c r="J1369" s="1219">
        <f>ROUND(J1368/1000,2)</f>
        <v>21.08</v>
      </c>
      <c r="K1369" s="745" t="s">
        <v>298</v>
      </c>
      <c r="L1369" s="843" t="s">
        <v>299</v>
      </c>
      <c r="M1369" s="843"/>
      <c r="N1369" s="1312"/>
      <c r="O1369" s="1312"/>
    </row>
    <row r="1370" spans="1:15" hidden="1">
      <c r="A1370" s="1312"/>
      <c r="B1370" s="1312" t="s">
        <v>266</v>
      </c>
      <c r="C1370" s="1312"/>
      <c r="D1370" s="972"/>
      <c r="E1370" s="1312"/>
      <c r="F1370" s="1000"/>
      <c r="G1370" s="1219"/>
      <c r="H1370" s="1000" t="s">
        <v>190</v>
      </c>
      <c r="I1370" s="1000"/>
      <c r="J1370" s="1219">
        <f>ROUNDDOWN(J1369,2)</f>
        <v>21.08</v>
      </c>
      <c r="K1370" s="745" t="s">
        <v>298</v>
      </c>
      <c r="L1370" s="843" t="s">
        <v>291</v>
      </c>
      <c r="M1370" s="843"/>
      <c r="N1370" s="1312"/>
      <c r="O1370" s="1312"/>
    </row>
    <row r="1371" spans="1:15" hidden="1">
      <c r="A1371" s="1312"/>
      <c r="B1371" s="1312"/>
      <c r="C1371" s="1312"/>
      <c r="D1371" s="972"/>
      <c r="E1371" s="1312"/>
      <c r="F1371" s="1219"/>
      <c r="G1371" s="1219"/>
      <c r="H1371" s="1219"/>
      <c r="I1371" s="1219"/>
      <c r="J1371" s="1219"/>
      <c r="K1371" s="745"/>
      <c r="L1371" s="1312"/>
      <c r="M1371" s="1312"/>
      <c r="N1371" s="1312"/>
      <c r="O1371" s="1312"/>
    </row>
    <row r="1372" spans="1:15" hidden="1">
      <c r="A1372" s="1312"/>
      <c r="B1372" s="1307" t="s">
        <v>307</v>
      </c>
      <c r="C1372" s="1312"/>
      <c r="D1372" s="972"/>
      <c r="E1372" s="1312"/>
      <c r="F1372" s="1219"/>
      <c r="G1372" s="1219"/>
      <c r="H1372" s="1219"/>
      <c r="I1372" s="1219"/>
      <c r="J1372" s="1219"/>
      <c r="K1372" s="745"/>
      <c r="L1372" s="1312"/>
      <c r="M1372" s="1312"/>
      <c r="N1372" s="1312"/>
      <c r="O1372" s="1312"/>
    </row>
    <row r="1373" spans="1:15" hidden="1">
      <c r="A1373" s="1312"/>
      <c r="B1373" s="1312" t="s">
        <v>129</v>
      </c>
      <c r="C1373" s="1312"/>
      <c r="D1373" s="972"/>
      <c r="E1373" s="1312"/>
      <c r="F1373" s="1000"/>
      <c r="H1373" s="1000" t="s">
        <v>190</v>
      </c>
      <c r="I1373" s="1000"/>
      <c r="J1373" s="1219">
        <f>ข้อมูลแหล่งราคาวัสดุ!D37</f>
        <v>20833.64</v>
      </c>
      <c r="K1373" s="745" t="s">
        <v>182</v>
      </c>
      <c r="L1373" s="843" t="s">
        <v>193</v>
      </c>
      <c r="M1373" s="843"/>
      <c r="N1373" s="1312"/>
      <c r="O1373" s="1312"/>
    </row>
    <row r="1374" spans="1:15" hidden="1">
      <c r="A1374" s="1312"/>
      <c r="B1374" s="1312" t="s">
        <v>136</v>
      </c>
      <c r="C1374" s="1312"/>
      <c r="D1374" s="972"/>
      <c r="E1374" s="1312"/>
      <c r="F1374" s="1219">
        <f>F1366</f>
        <v>20</v>
      </c>
      <c r="G1374" s="1000" t="s">
        <v>181</v>
      </c>
      <c r="H1374" s="1000" t="s">
        <v>190</v>
      </c>
      <c r="I1374" s="1000"/>
      <c r="J1374" s="1219">
        <f>J1366</f>
        <v>27.61</v>
      </c>
      <c r="K1374" s="745" t="s">
        <v>182</v>
      </c>
      <c r="L1374" s="843" t="s">
        <v>234</v>
      </c>
      <c r="M1374" s="1312" t="s">
        <v>235</v>
      </c>
      <c r="N1374" s="1312"/>
      <c r="O1374" s="1312"/>
    </row>
    <row r="1375" spans="1:15" hidden="1">
      <c r="A1375" s="1312"/>
      <c r="B1375" s="1312" t="s">
        <v>273</v>
      </c>
      <c r="C1375" s="1312"/>
      <c r="D1375" s="972"/>
      <c r="E1375" s="1312"/>
      <c r="F1375" s="1219"/>
      <c r="H1375" s="1000" t="s">
        <v>190</v>
      </c>
      <c r="I1375" s="1000"/>
      <c r="J1375" s="1219">
        <v>80</v>
      </c>
      <c r="K1375" s="745" t="s">
        <v>182</v>
      </c>
      <c r="L1375" s="843" t="s">
        <v>239</v>
      </c>
      <c r="M1375" s="1312"/>
      <c r="N1375" s="1312"/>
    </row>
    <row r="1376" spans="1:15" hidden="1">
      <c r="A1376" s="1312"/>
      <c r="B1376" s="1312" t="s">
        <v>295</v>
      </c>
      <c r="C1376" s="1312"/>
      <c r="D1376" s="972"/>
      <c r="E1376" s="1312"/>
      <c r="F1376" s="1000"/>
      <c r="H1376" s="1000" t="s">
        <v>190</v>
      </c>
      <c r="I1376" s="1000"/>
      <c r="J1376" s="1219">
        <f>SUM(J1373:J1375)</f>
        <v>20941.25</v>
      </c>
      <c r="K1376" s="745" t="s">
        <v>182</v>
      </c>
      <c r="L1376" s="843" t="s">
        <v>296</v>
      </c>
      <c r="M1376" s="1312"/>
      <c r="N1376" s="1312"/>
    </row>
    <row r="1377" spans="1:15" hidden="1">
      <c r="A1377" s="1312"/>
      <c r="B1377" s="1312" t="s">
        <v>297</v>
      </c>
      <c r="C1377" s="1312"/>
      <c r="D1377" s="972"/>
      <c r="E1377" s="1312"/>
      <c r="F1377" s="1000"/>
      <c r="H1377" s="1000" t="s">
        <v>190</v>
      </c>
      <c r="I1377" s="1000"/>
      <c r="J1377" s="1219">
        <f>ROUND(J1376/1000,2)</f>
        <v>20.94</v>
      </c>
      <c r="K1377" s="745" t="s">
        <v>298</v>
      </c>
      <c r="L1377" s="843" t="s">
        <v>299</v>
      </c>
      <c r="M1377" s="1312"/>
      <c r="N1377" s="1312"/>
    </row>
    <row r="1378" spans="1:15" hidden="1">
      <c r="A1378" s="1312"/>
      <c r="B1378" s="1312" t="s">
        <v>266</v>
      </c>
      <c r="C1378" s="1312"/>
      <c r="D1378" s="972"/>
      <c r="E1378" s="1312"/>
      <c r="F1378" s="1000"/>
      <c r="G1378" s="1219"/>
      <c r="H1378" s="1000" t="s">
        <v>190</v>
      </c>
      <c r="I1378" s="1000"/>
      <c r="J1378" s="1219">
        <f>ROUNDDOWN(J1377,2)</f>
        <v>20.94</v>
      </c>
      <c r="K1378" s="745" t="s">
        <v>298</v>
      </c>
      <c r="L1378" s="843" t="s">
        <v>291</v>
      </c>
      <c r="M1378" s="1312"/>
      <c r="N1378" s="1312"/>
    </row>
    <row r="1379" spans="1:15" hidden="1">
      <c r="A1379" s="1312"/>
      <c r="B1379" s="1312"/>
      <c r="C1379" s="1312"/>
      <c r="D1379" s="972"/>
      <c r="E1379" s="1312"/>
      <c r="F1379" s="1219"/>
      <c r="G1379" s="1219"/>
      <c r="H1379" s="1219"/>
      <c r="I1379" s="1219"/>
      <c r="J1379" s="1219"/>
      <c r="K1379" s="745"/>
      <c r="L1379" s="1312"/>
      <c r="M1379" s="1312"/>
      <c r="N1379" s="1312"/>
    </row>
    <row r="1380" spans="1:15" hidden="1">
      <c r="A1380" s="1312"/>
      <c r="B1380" s="1307" t="s">
        <v>308</v>
      </c>
      <c r="C1380" s="1312"/>
      <c r="D1380" s="972"/>
      <c r="E1380" s="1312"/>
      <c r="F1380" s="1219"/>
      <c r="G1380" s="1219"/>
      <c r="H1380" s="1219"/>
      <c r="I1380" s="1219"/>
      <c r="J1380" s="1219"/>
      <c r="K1380" s="745"/>
      <c r="L1380" s="1312"/>
      <c r="M1380" s="1312"/>
      <c r="N1380" s="1312"/>
    </row>
    <row r="1381" spans="1:15" hidden="1">
      <c r="A1381" s="1312"/>
      <c r="B1381" s="1312" t="s">
        <v>129</v>
      </c>
      <c r="C1381" s="1312"/>
      <c r="D1381" s="972"/>
      <c r="E1381" s="1312"/>
      <c r="F1381" s="1000"/>
      <c r="H1381" s="1000" t="s">
        <v>190</v>
      </c>
      <c r="I1381" s="1000"/>
      <c r="J1381" s="1219">
        <f>ข้อมูลแหล่งราคาวัสดุ!D38</f>
        <v>20811.21</v>
      </c>
      <c r="K1381" s="745" t="s">
        <v>182</v>
      </c>
      <c r="L1381" s="843" t="s">
        <v>193</v>
      </c>
      <c r="M1381" s="1312"/>
      <c r="N1381" s="1312"/>
    </row>
    <row r="1382" spans="1:15" hidden="1">
      <c r="A1382" s="1312"/>
      <c r="B1382" s="1312" t="s">
        <v>136</v>
      </c>
      <c r="C1382" s="1312"/>
      <c r="D1382" s="972"/>
      <c r="E1382" s="1312"/>
      <c r="F1382" s="1219">
        <f>F1374</f>
        <v>20</v>
      </c>
      <c r="G1382" s="1000" t="s">
        <v>181</v>
      </c>
      <c r="H1382" s="1000" t="s">
        <v>190</v>
      </c>
      <c r="I1382" s="1000"/>
      <c r="J1382" s="1219">
        <f>J1374</f>
        <v>27.61</v>
      </c>
      <c r="K1382" s="745" t="s">
        <v>182</v>
      </c>
      <c r="L1382" s="843" t="s">
        <v>234</v>
      </c>
      <c r="M1382" s="1312" t="s">
        <v>235</v>
      </c>
      <c r="N1382" s="1312"/>
    </row>
    <row r="1383" spans="1:15" hidden="1">
      <c r="A1383" s="1312"/>
      <c r="B1383" s="1312" t="s">
        <v>273</v>
      </c>
      <c r="C1383" s="1312"/>
      <c r="D1383" s="972"/>
      <c r="E1383" s="1312"/>
      <c r="F1383" s="1219"/>
      <c r="H1383" s="1000" t="s">
        <v>190</v>
      </c>
      <c r="I1383" s="1000"/>
      <c r="J1383" s="1219">
        <v>80</v>
      </c>
      <c r="K1383" s="745" t="s">
        <v>182</v>
      </c>
      <c r="L1383" s="843" t="s">
        <v>239</v>
      </c>
      <c r="M1383" s="843"/>
      <c r="N1383" s="1312"/>
    </row>
    <row r="1384" spans="1:15" hidden="1">
      <c r="A1384" s="1312"/>
      <c r="B1384" s="1312" t="s">
        <v>295</v>
      </c>
      <c r="C1384" s="1312"/>
      <c r="D1384" s="972"/>
      <c r="E1384" s="1312"/>
      <c r="F1384" s="1000"/>
      <c r="H1384" s="1000" t="s">
        <v>190</v>
      </c>
      <c r="I1384" s="1000"/>
      <c r="J1384" s="1219">
        <f>SUM(J1381:J1383)</f>
        <v>20918.82</v>
      </c>
      <c r="K1384" s="745" t="s">
        <v>182</v>
      </c>
      <c r="L1384" s="843" t="s">
        <v>296</v>
      </c>
      <c r="M1384" s="843"/>
      <c r="N1384" s="1312"/>
      <c r="O1384" s="1312"/>
    </row>
    <row r="1385" spans="1:15" hidden="1">
      <c r="A1385" s="1312"/>
      <c r="B1385" s="1312" t="s">
        <v>297</v>
      </c>
      <c r="C1385" s="1312"/>
      <c r="D1385" s="972"/>
      <c r="E1385" s="1312"/>
      <c r="F1385" s="1000"/>
      <c r="H1385" s="1000" t="s">
        <v>190</v>
      </c>
      <c r="I1385" s="1000"/>
      <c r="J1385" s="1219">
        <f>ROUND(J1384/1000,2)</f>
        <v>20.92</v>
      </c>
      <c r="K1385" s="745" t="s">
        <v>298</v>
      </c>
      <c r="L1385" s="843" t="s">
        <v>299</v>
      </c>
      <c r="M1385" s="843"/>
      <c r="N1385" s="1312"/>
      <c r="O1385" s="1312"/>
    </row>
    <row r="1386" spans="1:15" hidden="1">
      <c r="A1386" s="1312"/>
      <c r="B1386" s="1312" t="s">
        <v>266</v>
      </c>
      <c r="C1386" s="1312"/>
      <c r="D1386" s="972"/>
      <c r="E1386" s="1312"/>
      <c r="F1386" s="1000"/>
      <c r="G1386" s="1219"/>
      <c r="H1386" s="1000" t="s">
        <v>190</v>
      </c>
      <c r="I1386" s="1000"/>
      <c r="J1386" s="1219">
        <f>ROUNDDOWN(J1385,2)</f>
        <v>20.92</v>
      </c>
      <c r="K1386" s="745" t="s">
        <v>298</v>
      </c>
      <c r="L1386" s="843" t="s">
        <v>291</v>
      </c>
      <c r="M1386" s="843"/>
      <c r="N1386" s="1312"/>
      <c r="O1386" s="1312"/>
    </row>
    <row r="1387" spans="1:15" hidden="1">
      <c r="A1387" s="1312"/>
      <c r="B1387" s="1312"/>
      <c r="C1387" s="1312"/>
      <c r="D1387" s="972"/>
      <c r="E1387" s="1312"/>
      <c r="F1387" s="1219"/>
      <c r="G1387" s="1219"/>
      <c r="H1387" s="1219"/>
      <c r="I1387" s="1219"/>
      <c r="J1387" s="1219"/>
      <c r="K1387" s="745"/>
      <c r="L1387" s="1312"/>
      <c r="M1387" s="1312"/>
      <c r="N1387" s="1312"/>
      <c r="O1387" s="1312"/>
    </row>
    <row r="1388" spans="1:15" hidden="1">
      <c r="A1388" s="1312"/>
      <c r="B1388" s="1307" t="s">
        <v>309</v>
      </c>
      <c r="C1388" s="1312"/>
      <c r="D1388" s="972"/>
      <c r="E1388" s="1312"/>
      <c r="F1388" s="1219"/>
      <c r="G1388" s="1219"/>
      <c r="H1388" s="1219"/>
      <c r="I1388" s="1219"/>
      <c r="J1388" s="1219"/>
      <c r="K1388" s="745"/>
      <c r="L1388" s="1312"/>
      <c r="M1388" s="1312"/>
      <c r="N1388" s="1312"/>
      <c r="O1388" s="1312"/>
    </row>
    <row r="1389" spans="1:15" hidden="1">
      <c r="A1389" s="1312"/>
      <c r="B1389" s="1312" t="s">
        <v>129</v>
      </c>
      <c r="C1389" s="1312"/>
      <c r="D1389" s="972"/>
      <c r="E1389" s="1312"/>
      <c r="F1389" s="1000"/>
      <c r="H1389" s="1000" t="s">
        <v>190</v>
      </c>
      <c r="I1389" s="1000"/>
      <c r="J1389" s="1219"/>
      <c r="K1389" s="745" t="s">
        <v>182</v>
      </c>
      <c r="L1389" s="843" t="s">
        <v>193</v>
      </c>
      <c r="M1389" s="843"/>
      <c r="N1389" s="1312"/>
      <c r="O1389" s="1312"/>
    </row>
    <row r="1390" spans="1:15" hidden="1">
      <c r="A1390" s="1312"/>
      <c r="B1390" s="1312" t="s">
        <v>136</v>
      </c>
      <c r="C1390" s="1312"/>
      <c r="D1390" s="972"/>
      <c r="E1390" s="1312"/>
      <c r="F1390" s="1219">
        <f>F1382</f>
        <v>20</v>
      </c>
      <c r="G1390" s="1000" t="s">
        <v>181</v>
      </c>
      <c r="H1390" s="1000" t="s">
        <v>190</v>
      </c>
      <c r="I1390" s="1000"/>
      <c r="J1390" s="1219" t="s">
        <v>310</v>
      </c>
      <c r="K1390" s="745" t="s">
        <v>182</v>
      </c>
      <c r="L1390" s="843" t="s">
        <v>234</v>
      </c>
      <c r="M1390" s="843"/>
      <c r="N1390" s="1312"/>
      <c r="O1390" s="1312"/>
    </row>
    <row r="1391" spans="1:15" hidden="1">
      <c r="A1391" s="1312"/>
      <c r="B1391" s="1312" t="s">
        <v>273</v>
      </c>
      <c r="C1391" s="1312"/>
      <c r="D1391" s="972"/>
      <c r="E1391" s="1312"/>
      <c r="F1391" s="1219"/>
      <c r="H1391" s="1000" t="s">
        <v>190</v>
      </c>
      <c r="I1391" s="1000"/>
      <c r="J1391" s="1219">
        <v>80</v>
      </c>
      <c r="K1391" s="745" t="s">
        <v>182</v>
      </c>
      <c r="L1391" s="843" t="s">
        <v>239</v>
      </c>
      <c r="M1391" s="843"/>
      <c r="N1391" s="1312"/>
      <c r="O1391" s="1312" t="s">
        <v>235</v>
      </c>
    </row>
    <row r="1392" spans="1:15" hidden="1">
      <c r="A1392" s="1312"/>
      <c r="B1392" s="1312" t="s">
        <v>295</v>
      </c>
      <c r="C1392" s="1312"/>
      <c r="D1392" s="972"/>
      <c r="E1392" s="1312"/>
      <c r="F1392" s="1000"/>
      <c r="H1392" s="1000" t="s">
        <v>190</v>
      </c>
      <c r="I1392" s="1000"/>
      <c r="J1392" s="1219" t="s">
        <v>310</v>
      </c>
      <c r="K1392" s="745" t="s">
        <v>182</v>
      </c>
      <c r="L1392" s="843" t="s">
        <v>296</v>
      </c>
      <c r="M1392" s="843"/>
      <c r="N1392" s="1312"/>
      <c r="O1392" s="1312"/>
    </row>
    <row r="1393" spans="1:15" hidden="1">
      <c r="A1393" s="1312"/>
      <c r="B1393" s="1312" t="s">
        <v>297</v>
      </c>
      <c r="C1393" s="1312"/>
      <c r="D1393" s="972"/>
      <c r="E1393" s="1312"/>
      <c r="F1393" s="1000"/>
      <c r="H1393" s="1000" t="s">
        <v>190</v>
      </c>
      <c r="I1393" s="1000"/>
      <c r="J1393" s="1219" t="s">
        <v>310</v>
      </c>
      <c r="K1393" s="745" t="s">
        <v>298</v>
      </c>
      <c r="L1393" s="843" t="s">
        <v>299</v>
      </c>
      <c r="M1393" s="843"/>
      <c r="N1393" s="1312"/>
      <c r="O1393" s="1312"/>
    </row>
    <row r="1394" spans="1:15" hidden="1">
      <c r="A1394" s="1312"/>
      <c r="B1394" s="1312" t="s">
        <v>266</v>
      </c>
      <c r="C1394" s="1312"/>
      <c r="D1394" s="972"/>
      <c r="E1394" s="1312"/>
      <c r="F1394" s="1000"/>
      <c r="G1394" s="1219"/>
      <c r="H1394" s="1000" t="s">
        <v>190</v>
      </c>
      <c r="I1394" s="1000"/>
      <c r="J1394" s="1219" t="s">
        <v>310</v>
      </c>
      <c r="K1394" s="745" t="s">
        <v>298</v>
      </c>
      <c r="L1394" s="843" t="s">
        <v>291</v>
      </c>
      <c r="M1394" s="843"/>
      <c r="N1394" s="1312"/>
      <c r="O1394" s="1312"/>
    </row>
    <row r="1395" spans="1:15" hidden="1">
      <c r="A1395" s="1312"/>
      <c r="B1395" s="1312"/>
      <c r="C1395" s="1312"/>
      <c r="D1395" s="972"/>
      <c r="E1395" s="1312"/>
      <c r="F1395" s="1219"/>
      <c r="G1395" s="1219"/>
      <c r="H1395" s="1219"/>
      <c r="I1395" s="1219"/>
      <c r="J1395" s="1219"/>
      <c r="K1395" s="745"/>
      <c r="L1395" s="1312"/>
      <c r="M1395" s="1312"/>
      <c r="N1395" s="1312"/>
      <c r="O1395" s="1312"/>
    </row>
    <row r="1396" spans="1:15" hidden="1">
      <c r="A1396" s="1312"/>
      <c r="B1396" s="1307" t="s">
        <v>311</v>
      </c>
      <c r="C1396" s="1312"/>
      <c r="D1396" s="972"/>
      <c r="E1396" s="1312"/>
      <c r="F1396" s="1219"/>
      <c r="G1396" s="1219"/>
      <c r="H1396" s="1219"/>
      <c r="I1396" s="1219"/>
      <c r="J1396" s="1219"/>
      <c r="K1396" s="745"/>
      <c r="L1396" s="1312"/>
      <c r="M1396" s="1312"/>
      <c r="N1396" s="1312"/>
      <c r="O1396" s="1312"/>
    </row>
    <row r="1397" spans="1:15" hidden="1">
      <c r="A1397" s="1312"/>
      <c r="B1397" s="1312" t="s">
        <v>129</v>
      </c>
      <c r="C1397" s="1312"/>
      <c r="D1397" s="972"/>
      <c r="E1397" s="1312"/>
      <c r="F1397" s="1000"/>
      <c r="H1397" s="1000" t="s">
        <v>190</v>
      </c>
      <c r="I1397" s="1000"/>
      <c r="J1397" s="1219">
        <f>ข้อมูลแหล่งราคาวัสดุ!D40</f>
        <v>14849.8</v>
      </c>
      <c r="K1397" s="745" t="s">
        <v>182</v>
      </c>
      <c r="L1397" s="843" t="s">
        <v>193</v>
      </c>
      <c r="M1397" s="843"/>
      <c r="N1397" s="1312"/>
      <c r="O1397" s="1312"/>
    </row>
    <row r="1398" spans="1:15" hidden="1">
      <c r="A1398" s="1312"/>
      <c r="B1398" s="1312" t="s">
        <v>136</v>
      </c>
      <c r="C1398" s="1312"/>
      <c r="D1398" s="972"/>
      <c r="E1398" s="1312"/>
      <c r="F1398" s="1219">
        <f>F1382</f>
        <v>20</v>
      </c>
      <c r="G1398" s="1000" t="s">
        <v>181</v>
      </c>
      <c r="H1398" s="1000" t="s">
        <v>190</v>
      </c>
      <c r="I1398" s="1000"/>
      <c r="J1398" s="1219">
        <f>J1382</f>
        <v>27.61</v>
      </c>
      <c r="K1398" s="745" t="s">
        <v>182</v>
      </c>
      <c r="L1398" s="843" t="s">
        <v>234</v>
      </c>
      <c r="M1398" s="1312" t="s">
        <v>235</v>
      </c>
      <c r="N1398" s="1312"/>
      <c r="O1398" s="1312"/>
    </row>
    <row r="1399" spans="1:15" hidden="1">
      <c r="A1399" s="1312"/>
      <c r="B1399" s="1312" t="s">
        <v>273</v>
      </c>
      <c r="C1399" s="1312"/>
      <c r="D1399" s="972"/>
      <c r="E1399" s="1312"/>
      <c r="F1399" s="1219"/>
      <c r="H1399" s="1000" t="s">
        <v>190</v>
      </c>
      <c r="I1399" s="1000"/>
      <c r="J1399" s="1219">
        <v>80</v>
      </c>
      <c r="K1399" s="745" t="s">
        <v>182</v>
      </c>
      <c r="L1399" s="843" t="s">
        <v>239</v>
      </c>
      <c r="M1399" s="1312"/>
      <c r="N1399" s="1312"/>
    </row>
    <row r="1400" spans="1:15" hidden="1">
      <c r="A1400" s="1312"/>
      <c r="B1400" s="1312" t="s">
        <v>295</v>
      </c>
      <c r="C1400" s="1312"/>
      <c r="D1400" s="972"/>
      <c r="E1400" s="1312"/>
      <c r="F1400" s="1000"/>
      <c r="H1400" s="1000" t="s">
        <v>190</v>
      </c>
      <c r="I1400" s="1000"/>
      <c r="J1400" s="1219">
        <f>SUM(J1397:J1399)</f>
        <v>14957.41</v>
      </c>
      <c r="K1400" s="745" t="s">
        <v>182</v>
      </c>
      <c r="L1400" s="843" t="s">
        <v>296</v>
      </c>
      <c r="M1400" s="1312"/>
      <c r="N1400" s="1312"/>
    </row>
    <row r="1401" spans="1:15" hidden="1">
      <c r="A1401" s="1312"/>
      <c r="B1401" s="1312" t="s">
        <v>297</v>
      </c>
      <c r="C1401" s="1312"/>
      <c r="D1401" s="972"/>
      <c r="E1401" s="1312"/>
      <c r="F1401" s="1000"/>
      <c r="H1401" s="1000" t="s">
        <v>190</v>
      </c>
      <c r="I1401" s="1000"/>
      <c r="J1401" s="1219">
        <f>ROUND(J1400/1000,2)</f>
        <v>14.96</v>
      </c>
      <c r="K1401" s="745" t="s">
        <v>298</v>
      </c>
      <c r="L1401" s="843" t="s">
        <v>299</v>
      </c>
      <c r="M1401" s="1312"/>
      <c r="N1401" s="1312"/>
    </row>
    <row r="1402" spans="1:15" hidden="1">
      <c r="A1402" s="1312"/>
      <c r="B1402" s="1312" t="s">
        <v>266</v>
      </c>
      <c r="C1402" s="1312"/>
      <c r="D1402" s="972"/>
      <c r="E1402" s="1312"/>
      <c r="F1402" s="1000"/>
      <c r="G1402" s="1219"/>
      <c r="H1402" s="1000" t="s">
        <v>190</v>
      </c>
      <c r="I1402" s="1000"/>
      <c r="J1402" s="1219">
        <f>ROUNDDOWN(J1401,2)</f>
        <v>14.96</v>
      </c>
      <c r="K1402" s="745" t="s">
        <v>298</v>
      </c>
      <c r="L1402" s="843" t="s">
        <v>291</v>
      </c>
      <c r="M1402" s="1312"/>
      <c r="N1402" s="1312"/>
    </row>
    <row r="1403" spans="1:15" hidden="1">
      <c r="A1403" s="1312"/>
      <c r="B1403" s="1312"/>
      <c r="C1403" s="1312"/>
      <c r="D1403" s="972"/>
      <c r="E1403" s="1312"/>
      <c r="F1403" s="1219"/>
      <c r="G1403" s="1219"/>
      <c r="H1403" s="1219"/>
      <c r="I1403" s="1219"/>
      <c r="J1403" s="1219"/>
      <c r="K1403" s="745"/>
      <c r="L1403" s="1312"/>
      <c r="M1403" s="1312"/>
      <c r="N1403" s="1312"/>
    </row>
    <row r="1404" spans="1:15" hidden="1">
      <c r="A1404" s="1312"/>
      <c r="B1404" s="1307" t="s">
        <v>312</v>
      </c>
      <c r="C1404" s="1312"/>
      <c r="D1404" s="972"/>
      <c r="E1404" s="1312"/>
      <c r="F1404" s="1219"/>
      <c r="G1404" s="1219"/>
      <c r="H1404" s="1219"/>
      <c r="I1404" s="1219"/>
      <c r="J1404" s="1219"/>
      <c r="K1404" s="745"/>
      <c r="L1404" s="1312"/>
      <c r="M1404" s="1312"/>
      <c r="N1404" s="1312"/>
    </row>
    <row r="1405" spans="1:15" hidden="1">
      <c r="A1405" s="1312"/>
      <c r="B1405" s="1312" t="s">
        <v>129</v>
      </c>
      <c r="C1405" s="1312"/>
      <c r="D1405" s="972"/>
      <c r="E1405" s="1312"/>
      <c r="F1405" s="1000"/>
      <c r="H1405" s="1000" t="s">
        <v>190</v>
      </c>
      <c r="I1405" s="1000"/>
      <c r="J1405" s="1219">
        <f>ข้อมูลแหล่งราคาวัสดุ!D41</f>
        <v>14649.8</v>
      </c>
      <c r="K1405" s="745" t="s">
        <v>182</v>
      </c>
      <c r="L1405" s="843" t="s">
        <v>193</v>
      </c>
      <c r="M1405" s="1312"/>
      <c r="N1405" s="1312"/>
    </row>
    <row r="1406" spans="1:15" hidden="1">
      <c r="A1406" s="1312"/>
      <c r="B1406" s="1312" t="s">
        <v>136</v>
      </c>
      <c r="C1406" s="1312"/>
      <c r="D1406" s="972"/>
      <c r="E1406" s="1312"/>
      <c r="F1406" s="1219">
        <f>F1398</f>
        <v>20</v>
      </c>
      <c r="G1406" s="1000" t="s">
        <v>181</v>
      </c>
      <c r="H1406" s="1000" t="s">
        <v>190</v>
      </c>
      <c r="I1406" s="1000"/>
      <c r="J1406" s="1219">
        <f>J1398</f>
        <v>27.61</v>
      </c>
      <c r="K1406" s="745" t="s">
        <v>182</v>
      </c>
      <c r="L1406" s="843" t="s">
        <v>234</v>
      </c>
      <c r="M1406" s="1312" t="s">
        <v>235</v>
      </c>
      <c r="N1406" s="1312"/>
    </row>
    <row r="1407" spans="1:15" hidden="1">
      <c r="A1407" s="1312"/>
      <c r="B1407" s="1312" t="s">
        <v>273</v>
      </c>
      <c r="C1407" s="1312"/>
      <c r="D1407" s="972"/>
      <c r="E1407" s="1312"/>
      <c r="F1407" s="1219"/>
      <c r="H1407" s="1000" t="s">
        <v>190</v>
      </c>
      <c r="I1407" s="1000"/>
      <c r="J1407" s="1219">
        <v>80</v>
      </c>
      <c r="K1407" s="745" t="s">
        <v>182</v>
      </c>
      <c r="L1407" s="843" t="s">
        <v>239</v>
      </c>
      <c r="M1407" s="843"/>
      <c r="N1407" s="1312"/>
    </row>
    <row r="1408" spans="1:15" hidden="1">
      <c r="A1408" s="1312"/>
      <c r="B1408" s="1312" t="s">
        <v>295</v>
      </c>
      <c r="C1408" s="1312"/>
      <c r="D1408" s="972"/>
      <c r="E1408" s="1312"/>
      <c r="F1408" s="1000"/>
      <c r="H1408" s="1000" t="s">
        <v>190</v>
      </c>
      <c r="I1408" s="1000"/>
      <c r="J1408" s="1219">
        <f>SUM(J1405:J1407)</f>
        <v>14757.41</v>
      </c>
      <c r="K1408" s="745" t="s">
        <v>182</v>
      </c>
      <c r="L1408" s="843" t="s">
        <v>296</v>
      </c>
      <c r="M1408" s="843"/>
      <c r="N1408" s="1312"/>
      <c r="O1408" s="1312"/>
    </row>
    <row r="1409" spans="1:15" hidden="1">
      <c r="A1409" s="1312"/>
      <c r="B1409" s="1312" t="s">
        <v>297</v>
      </c>
      <c r="C1409" s="1312"/>
      <c r="D1409" s="972"/>
      <c r="E1409" s="1312"/>
      <c r="F1409" s="1000"/>
      <c r="H1409" s="1000" t="s">
        <v>190</v>
      </c>
      <c r="I1409" s="1000"/>
      <c r="J1409" s="1219">
        <f>ROUND(J1408/1000,2)</f>
        <v>14.76</v>
      </c>
      <c r="K1409" s="745" t="s">
        <v>298</v>
      </c>
      <c r="L1409" s="843" t="s">
        <v>299</v>
      </c>
      <c r="M1409" s="843"/>
      <c r="N1409" s="1312"/>
      <c r="O1409" s="1312"/>
    </row>
    <row r="1410" spans="1:15" hidden="1">
      <c r="A1410" s="1312"/>
      <c r="B1410" s="1312" t="s">
        <v>266</v>
      </c>
      <c r="C1410" s="1312"/>
      <c r="D1410" s="972"/>
      <c r="E1410" s="1312"/>
      <c r="F1410" s="1000"/>
      <c r="G1410" s="1219"/>
      <c r="H1410" s="1000" t="s">
        <v>190</v>
      </c>
      <c r="I1410" s="1000"/>
      <c r="J1410" s="1219">
        <f>ROUNDDOWN(J1409,2)</f>
        <v>14.76</v>
      </c>
      <c r="K1410" s="745" t="s">
        <v>298</v>
      </c>
      <c r="L1410" s="843" t="s">
        <v>291</v>
      </c>
      <c r="M1410" s="843"/>
      <c r="N1410" s="1312"/>
      <c r="O1410" s="1312"/>
    </row>
    <row r="1411" spans="1:15" hidden="1">
      <c r="A1411" s="1312"/>
      <c r="B1411" s="1312"/>
      <c r="C1411" s="1312"/>
      <c r="D1411" s="972"/>
      <c r="E1411" s="1312"/>
      <c r="F1411" s="1219"/>
      <c r="G1411" s="1219"/>
      <c r="H1411" s="1219"/>
      <c r="I1411" s="1219"/>
      <c r="J1411" s="1219"/>
      <c r="K1411" s="745"/>
      <c r="L1411" s="1312"/>
      <c r="M1411" s="1312"/>
      <c r="N1411" s="1312"/>
      <c r="O1411" s="1312"/>
    </row>
    <row r="1412" spans="1:15" hidden="1">
      <c r="A1412" s="1312"/>
      <c r="B1412" s="1307" t="s">
        <v>313</v>
      </c>
      <c r="C1412" s="1312"/>
      <c r="D1412" s="972"/>
      <c r="E1412" s="1312"/>
      <c r="F1412" s="1219"/>
      <c r="G1412" s="1219"/>
      <c r="H1412" s="1219"/>
      <c r="I1412" s="1219"/>
      <c r="J1412" s="1219"/>
      <c r="K1412" s="745"/>
      <c r="L1412" s="1312"/>
      <c r="M1412" s="1312"/>
      <c r="N1412" s="1312"/>
      <c r="O1412" s="1312"/>
    </row>
    <row r="1413" spans="1:15" hidden="1">
      <c r="A1413" s="1312"/>
      <c r="B1413" s="1312" t="s">
        <v>129</v>
      </c>
      <c r="C1413" s="1312"/>
      <c r="D1413" s="972"/>
      <c r="E1413" s="1312"/>
      <c r="F1413" s="1000"/>
      <c r="H1413" s="1000" t="s">
        <v>190</v>
      </c>
      <c r="I1413" s="1000"/>
      <c r="J1413" s="1219">
        <f>ข้อมูลแหล่งราคาวัสดุ!D42</f>
        <v>14649.8</v>
      </c>
      <c r="K1413" s="745" t="s">
        <v>182</v>
      </c>
      <c r="L1413" s="843" t="s">
        <v>193</v>
      </c>
      <c r="M1413" s="843"/>
      <c r="N1413" s="1312"/>
      <c r="O1413" s="1312"/>
    </row>
    <row r="1414" spans="1:15" hidden="1">
      <c r="A1414" s="1312"/>
      <c r="B1414" s="1312" t="s">
        <v>136</v>
      </c>
      <c r="C1414" s="1312"/>
      <c r="D1414" s="972"/>
      <c r="E1414" s="1312"/>
      <c r="F1414" s="1219">
        <f>F1406</f>
        <v>20</v>
      </c>
      <c r="G1414" s="1000" t="s">
        <v>181</v>
      </c>
      <c r="H1414" s="1000" t="s">
        <v>190</v>
      </c>
      <c r="I1414" s="1000"/>
      <c r="J1414" s="1219">
        <f>J1406</f>
        <v>27.61</v>
      </c>
      <c r="K1414" s="745" t="s">
        <v>182</v>
      </c>
      <c r="L1414" s="843" t="s">
        <v>234</v>
      </c>
      <c r="M1414" s="1312" t="s">
        <v>235</v>
      </c>
      <c r="N1414" s="1312"/>
      <c r="O1414" s="1312"/>
    </row>
    <row r="1415" spans="1:15" hidden="1">
      <c r="A1415" s="1312"/>
      <c r="B1415" s="1312" t="s">
        <v>273</v>
      </c>
      <c r="C1415" s="1312"/>
      <c r="D1415" s="972"/>
      <c r="E1415" s="1312"/>
      <c r="F1415" s="1219"/>
      <c r="H1415" s="1000" t="s">
        <v>190</v>
      </c>
      <c r="I1415" s="1000"/>
      <c r="J1415" s="1219">
        <v>80</v>
      </c>
      <c r="K1415" s="745" t="s">
        <v>182</v>
      </c>
      <c r="L1415" s="843" t="s">
        <v>239</v>
      </c>
      <c r="M1415" s="1312"/>
      <c r="N1415" s="1312"/>
    </row>
    <row r="1416" spans="1:15" hidden="1">
      <c r="A1416" s="1312"/>
      <c r="B1416" s="1312" t="s">
        <v>295</v>
      </c>
      <c r="C1416" s="1312"/>
      <c r="D1416" s="972"/>
      <c r="E1416" s="1312"/>
      <c r="F1416" s="1000"/>
      <c r="H1416" s="1000" t="s">
        <v>190</v>
      </c>
      <c r="I1416" s="1000"/>
      <c r="J1416" s="1219">
        <f>SUM(J1413:J1415)</f>
        <v>14757.41</v>
      </c>
      <c r="K1416" s="745" t="s">
        <v>182</v>
      </c>
      <c r="L1416" s="843" t="s">
        <v>296</v>
      </c>
      <c r="M1416" s="1312"/>
      <c r="N1416" s="1312"/>
    </row>
    <row r="1417" spans="1:15" hidden="1">
      <c r="A1417" s="1312"/>
      <c r="B1417" s="1312" t="s">
        <v>297</v>
      </c>
      <c r="C1417" s="1312"/>
      <c r="D1417" s="972"/>
      <c r="E1417" s="1312"/>
      <c r="F1417" s="1000"/>
      <c r="H1417" s="1000" t="s">
        <v>190</v>
      </c>
      <c r="I1417" s="1000"/>
      <c r="J1417" s="1219">
        <f>ROUND(J1416/1000,2)</f>
        <v>14.76</v>
      </c>
      <c r="K1417" s="745" t="s">
        <v>298</v>
      </c>
      <c r="L1417" s="843" t="s">
        <v>299</v>
      </c>
      <c r="M1417" s="1312"/>
      <c r="N1417" s="1312"/>
    </row>
    <row r="1418" spans="1:15" hidden="1">
      <c r="A1418" s="1312"/>
      <c r="B1418" s="1312" t="s">
        <v>266</v>
      </c>
      <c r="C1418" s="1312"/>
      <c r="D1418" s="972"/>
      <c r="E1418" s="1312"/>
      <c r="F1418" s="1000"/>
      <c r="G1418" s="1219"/>
      <c r="H1418" s="1000" t="s">
        <v>190</v>
      </c>
      <c r="I1418" s="1000"/>
      <c r="J1418" s="1219">
        <f>ROUNDDOWN(J1417,2)</f>
        <v>14.76</v>
      </c>
      <c r="K1418" s="745" t="s">
        <v>298</v>
      </c>
      <c r="L1418" s="843" t="s">
        <v>291</v>
      </c>
      <c r="M1418" s="1312"/>
      <c r="N1418" s="1312"/>
    </row>
    <row r="1419" spans="1:15" hidden="1">
      <c r="A1419" s="1312"/>
      <c r="B1419" s="1312"/>
      <c r="C1419" s="1312"/>
      <c r="D1419" s="972"/>
      <c r="E1419" s="1312"/>
      <c r="F1419" s="1219"/>
      <c r="G1419" s="1219"/>
      <c r="H1419" s="1219"/>
      <c r="I1419" s="1219"/>
      <c r="J1419" s="1219"/>
      <c r="K1419" s="745"/>
      <c r="L1419" s="1312"/>
      <c r="M1419" s="1312"/>
      <c r="N1419" s="1312"/>
    </row>
    <row r="1420" spans="1:15" hidden="1">
      <c r="A1420" s="1312"/>
      <c r="B1420" s="1307" t="s">
        <v>314</v>
      </c>
      <c r="C1420" s="1312"/>
      <c r="D1420" s="972"/>
      <c r="E1420" s="1312"/>
      <c r="F1420" s="1219"/>
      <c r="G1420" s="1219"/>
      <c r="H1420" s="1219"/>
      <c r="I1420" s="1219"/>
      <c r="J1420" s="1219"/>
      <c r="K1420" s="745"/>
      <c r="L1420" s="1312"/>
      <c r="M1420" s="1312"/>
      <c r="N1420" s="1312"/>
    </row>
    <row r="1421" spans="1:15" hidden="1">
      <c r="A1421" s="1312"/>
      <c r="B1421" s="1312" t="s">
        <v>129</v>
      </c>
      <c r="C1421" s="1312"/>
      <c r="D1421" s="972"/>
      <c r="E1421" s="1312"/>
      <c r="F1421" s="1000"/>
      <c r="H1421" s="1000" t="s">
        <v>190</v>
      </c>
      <c r="I1421" s="1000"/>
      <c r="J1421" s="1219">
        <f>ข้อมูลแหล่งราคาวัสดุ!D43</f>
        <v>14649.8</v>
      </c>
      <c r="K1421" s="745" t="s">
        <v>182</v>
      </c>
      <c r="L1421" s="843" t="s">
        <v>193</v>
      </c>
      <c r="M1421" s="1312"/>
      <c r="N1421" s="1312"/>
    </row>
    <row r="1422" spans="1:15" hidden="1">
      <c r="A1422" s="1312"/>
      <c r="B1422" s="1312" t="s">
        <v>136</v>
      </c>
      <c r="C1422" s="1312"/>
      <c r="D1422" s="972"/>
      <c r="E1422" s="1312"/>
      <c r="F1422" s="1219">
        <f>F1414</f>
        <v>20</v>
      </c>
      <c r="G1422" s="1000" t="s">
        <v>181</v>
      </c>
      <c r="H1422" s="1000" t="s">
        <v>190</v>
      </c>
      <c r="I1422" s="1000"/>
      <c r="J1422" s="1219">
        <f>J1414</f>
        <v>27.61</v>
      </c>
      <c r="K1422" s="745" t="s">
        <v>182</v>
      </c>
      <c r="L1422" s="843" t="s">
        <v>234</v>
      </c>
      <c r="M1422" s="1312" t="s">
        <v>235</v>
      </c>
      <c r="N1422" s="1312"/>
    </row>
    <row r="1423" spans="1:15" hidden="1">
      <c r="A1423" s="1312"/>
      <c r="B1423" s="1312" t="s">
        <v>273</v>
      </c>
      <c r="C1423" s="1312"/>
      <c r="D1423" s="972"/>
      <c r="E1423" s="1312"/>
      <c r="F1423" s="1219"/>
      <c r="H1423" s="1000" t="s">
        <v>190</v>
      </c>
      <c r="I1423" s="1000"/>
      <c r="J1423" s="1219">
        <v>80</v>
      </c>
      <c r="K1423" s="745" t="s">
        <v>182</v>
      </c>
      <c r="L1423" s="843" t="s">
        <v>239</v>
      </c>
      <c r="M1423" s="843"/>
      <c r="N1423" s="1312"/>
    </row>
    <row r="1424" spans="1:15" hidden="1">
      <c r="A1424" s="1312"/>
      <c r="B1424" s="1312" t="s">
        <v>295</v>
      </c>
      <c r="C1424" s="1312"/>
      <c r="D1424" s="972"/>
      <c r="E1424" s="1312"/>
      <c r="F1424" s="1000"/>
      <c r="H1424" s="1000" t="s">
        <v>190</v>
      </c>
      <c r="I1424" s="1000"/>
      <c r="J1424" s="1219">
        <f>SUM(J1421:J1423)</f>
        <v>14757.41</v>
      </c>
      <c r="K1424" s="745" t="s">
        <v>182</v>
      </c>
      <c r="L1424" s="843" t="s">
        <v>296</v>
      </c>
      <c r="M1424" s="843"/>
      <c r="N1424" s="1312"/>
      <c r="O1424" s="1312"/>
    </row>
    <row r="1425" spans="1:15" hidden="1">
      <c r="A1425" s="1312"/>
      <c r="B1425" s="1312" t="s">
        <v>297</v>
      </c>
      <c r="C1425" s="1312"/>
      <c r="D1425" s="972"/>
      <c r="E1425" s="1312"/>
      <c r="F1425" s="1000"/>
      <c r="H1425" s="1000" t="s">
        <v>190</v>
      </c>
      <c r="I1425" s="1000"/>
      <c r="J1425" s="1219">
        <f>ROUND(J1424/1000,2)</f>
        <v>14.76</v>
      </c>
      <c r="K1425" s="745" t="s">
        <v>298</v>
      </c>
      <c r="L1425" s="843" t="s">
        <v>299</v>
      </c>
      <c r="M1425" s="843"/>
      <c r="N1425" s="1312"/>
      <c r="O1425" s="1312"/>
    </row>
    <row r="1426" spans="1:15" hidden="1">
      <c r="A1426" s="1312"/>
      <c r="B1426" s="1312" t="s">
        <v>266</v>
      </c>
      <c r="C1426" s="1312"/>
      <c r="D1426" s="972"/>
      <c r="E1426" s="1312"/>
      <c r="F1426" s="1000"/>
      <c r="G1426" s="1219"/>
      <c r="H1426" s="1000" t="s">
        <v>190</v>
      </c>
      <c r="I1426" s="1000"/>
      <c r="J1426" s="1219">
        <f>ROUNDDOWN(J1425,2)</f>
        <v>14.76</v>
      </c>
      <c r="K1426" s="745" t="s">
        <v>298</v>
      </c>
      <c r="L1426" s="843" t="s">
        <v>291</v>
      </c>
      <c r="M1426" s="843"/>
      <c r="N1426" s="1312"/>
      <c r="O1426" s="1312"/>
    </row>
    <row r="1427" spans="1:15" hidden="1">
      <c r="A1427" s="1312"/>
      <c r="B1427" s="1312"/>
      <c r="C1427" s="1312"/>
      <c r="D1427" s="972"/>
      <c r="E1427" s="1312"/>
      <c r="F1427" s="1219"/>
      <c r="G1427" s="1219"/>
      <c r="H1427" s="1219"/>
      <c r="I1427" s="1219"/>
      <c r="J1427" s="1219"/>
      <c r="K1427" s="745"/>
      <c r="L1427" s="1312"/>
      <c r="M1427" s="1312"/>
      <c r="N1427" s="1312"/>
      <c r="O1427" s="1312"/>
    </row>
    <row r="1428" spans="1:15" hidden="1">
      <c r="A1428" s="1312"/>
      <c r="B1428" s="1307" t="s">
        <v>315</v>
      </c>
      <c r="C1428" s="1312"/>
      <c r="D1428" s="972"/>
      <c r="E1428" s="1312"/>
      <c r="F1428" s="1219"/>
      <c r="G1428" s="1219"/>
      <c r="H1428" s="1219"/>
      <c r="I1428" s="1219"/>
      <c r="J1428" s="1219"/>
      <c r="K1428" s="745"/>
      <c r="L1428" s="1312"/>
      <c r="M1428" s="1312"/>
      <c r="N1428" s="1312"/>
      <c r="O1428" s="1312"/>
    </row>
    <row r="1429" spans="1:15" hidden="1">
      <c r="A1429" s="1312"/>
      <c r="B1429" s="1312" t="s">
        <v>129</v>
      </c>
      <c r="C1429" s="1312"/>
      <c r="D1429" s="972"/>
      <c r="E1429" s="1312"/>
      <c r="F1429" s="1000"/>
      <c r="H1429" s="1000" t="s">
        <v>190</v>
      </c>
      <c r="I1429" s="1000"/>
      <c r="J1429" s="1219">
        <f>ข้อมูลแหล่งราคาวัสดุ!D44</f>
        <v>14649.8</v>
      </c>
      <c r="K1429" s="745" t="s">
        <v>182</v>
      </c>
      <c r="L1429" s="843" t="s">
        <v>193</v>
      </c>
      <c r="M1429" s="843"/>
      <c r="N1429" s="1312"/>
      <c r="O1429" s="1312"/>
    </row>
    <row r="1430" spans="1:15" hidden="1">
      <c r="A1430" s="1312"/>
      <c r="B1430" s="1312" t="s">
        <v>136</v>
      </c>
      <c r="C1430" s="1312"/>
      <c r="D1430" s="972"/>
      <c r="E1430" s="1312"/>
      <c r="F1430" s="1219">
        <f>F1422</f>
        <v>20</v>
      </c>
      <c r="G1430" s="1000" t="s">
        <v>181</v>
      </c>
      <c r="H1430" s="1000" t="s">
        <v>190</v>
      </c>
      <c r="I1430" s="1000"/>
      <c r="J1430" s="1219">
        <f>J1422</f>
        <v>27.61</v>
      </c>
      <c r="K1430" s="745" t="s">
        <v>182</v>
      </c>
      <c r="L1430" s="843" t="s">
        <v>234</v>
      </c>
      <c r="M1430" s="1312" t="s">
        <v>235</v>
      </c>
      <c r="N1430" s="1312"/>
      <c r="O1430" s="1312"/>
    </row>
    <row r="1431" spans="1:15" hidden="1">
      <c r="A1431" s="1312"/>
      <c r="B1431" s="1312" t="s">
        <v>273</v>
      </c>
      <c r="C1431" s="1312"/>
      <c r="D1431" s="972"/>
      <c r="E1431" s="1312"/>
      <c r="F1431" s="1000"/>
      <c r="H1431" s="1000" t="s">
        <v>190</v>
      </c>
      <c r="I1431" s="1000"/>
      <c r="J1431" s="1219">
        <v>80</v>
      </c>
      <c r="K1431" s="745" t="s">
        <v>182</v>
      </c>
      <c r="L1431" s="843" t="s">
        <v>239</v>
      </c>
      <c r="M1431" s="843"/>
      <c r="N1431" s="1312"/>
    </row>
    <row r="1432" spans="1:15" hidden="1">
      <c r="A1432" s="1312"/>
      <c r="B1432" s="1312" t="s">
        <v>295</v>
      </c>
      <c r="C1432" s="1312"/>
      <c r="D1432" s="972"/>
      <c r="E1432" s="1312"/>
      <c r="F1432" s="1000"/>
      <c r="H1432" s="1000" t="s">
        <v>190</v>
      </c>
      <c r="I1432" s="1000"/>
      <c r="J1432" s="1219">
        <f>SUM(J1429:J1431)</f>
        <v>14757.41</v>
      </c>
      <c r="K1432" s="745" t="s">
        <v>182</v>
      </c>
      <c r="L1432" s="843" t="s">
        <v>296</v>
      </c>
      <c r="M1432" s="843"/>
      <c r="N1432" s="1312"/>
    </row>
    <row r="1433" spans="1:15" hidden="1">
      <c r="A1433" s="1312"/>
      <c r="B1433" s="1312" t="s">
        <v>297</v>
      </c>
      <c r="C1433" s="1312"/>
      <c r="D1433" s="972"/>
      <c r="E1433" s="1312"/>
      <c r="F1433" s="1000"/>
      <c r="G1433" s="1219"/>
      <c r="H1433" s="1000" t="s">
        <v>190</v>
      </c>
      <c r="I1433" s="1000"/>
      <c r="J1433" s="1219">
        <f>ROUND(J1432/1000,2)</f>
        <v>14.76</v>
      </c>
      <c r="K1433" s="745" t="s">
        <v>298</v>
      </c>
      <c r="L1433" s="843" t="s">
        <v>299</v>
      </c>
      <c r="M1433" s="843"/>
      <c r="N1433" s="1312"/>
    </row>
    <row r="1434" spans="1:15" hidden="1">
      <c r="A1434" s="1312"/>
      <c r="B1434" s="1312" t="s">
        <v>266</v>
      </c>
      <c r="C1434" s="1312"/>
      <c r="D1434" s="972"/>
      <c r="E1434" s="1312"/>
      <c r="F1434" s="1000"/>
      <c r="G1434" s="1219"/>
      <c r="H1434" s="1000" t="s">
        <v>190</v>
      </c>
      <c r="I1434" s="1000"/>
      <c r="J1434" s="1219">
        <f>ROUNDDOWN(J1433,2)</f>
        <v>14.76</v>
      </c>
      <c r="K1434" s="745" t="s">
        <v>298</v>
      </c>
      <c r="L1434" s="843" t="s">
        <v>291</v>
      </c>
      <c r="M1434" s="843"/>
      <c r="N1434" s="1312"/>
      <c r="O1434" s="1312"/>
    </row>
    <row r="1435" spans="1:15" hidden="1">
      <c r="A1435" s="1312"/>
      <c r="B1435" s="1312"/>
      <c r="C1435" s="1312"/>
      <c r="D1435" s="972"/>
      <c r="E1435" s="1312"/>
      <c r="F1435" s="1312"/>
      <c r="G1435" s="1312"/>
      <c r="H1435" s="1312"/>
      <c r="I1435" s="1312"/>
      <c r="J1435" s="1312"/>
      <c r="K1435" s="1277"/>
      <c r="L1435" s="1312"/>
      <c r="M1435" s="1312"/>
      <c r="N1435" s="1312"/>
      <c r="O1435" s="1312"/>
    </row>
    <row r="1436" spans="1:15" hidden="1">
      <c r="A1436" s="1312"/>
      <c r="B1436" s="1307" t="s">
        <v>2007</v>
      </c>
      <c r="C1436" s="1312"/>
      <c r="D1436" s="972"/>
      <c r="E1436" s="1312"/>
      <c r="F1436" s="1312"/>
      <c r="G1436" s="1312"/>
      <c r="H1436" s="1312"/>
      <c r="I1436" s="1312"/>
      <c r="J1436" s="1312"/>
      <c r="K1436" s="1277"/>
      <c r="L1436" s="1312"/>
      <c r="M1436" s="1312"/>
      <c r="N1436" s="1312"/>
      <c r="O1436" s="1312"/>
    </row>
    <row r="1437" spans="1:15" hidden="1">
      <c r="A1437" s="1312"/>
      <c r="B1437" s="1307" t="s">
        <v>316</v>
      </c>
      <c r="C1437" s="1312"/>
      <c r="D1437" s="972"/>
      <c r="E1437" s="1312"/>
      <c r="F1437" s="1312"/>
      <c r="G1437" s="1312"/>
      <c r="H1437" s="1312"/>
      <c r="I1437" s="1312"/>
      <c r="J1437" s="1312"/>
      <c r="K1437" s="1277"/>
      <c r="L1437" s="1312"/>
      <c r="M1437" s="1312"/>
      <c r="N1437" s="1312"/>
      <c r="O1437" s="1312"/>
    </row>
    <row r="1438" spans="1:15" hidden="1">
      <c r="A1438" s="1312"/>
      <c r="B1438" s="1307" t="s">
        <v>317</v>
      </c>
      <c r="C1438" s="1312"/>
      <c r="D1438" s="972"/>
      <c r="E1438" s="1312"/>
      <c r="F1438" s="1312"/>
      <c r="G1438" s="1312"/>
      <c r="H1438" s="1312"/>
      <c r="I1438" s="1312"/>
      <c r="J1438" s="1312"/>
      <c r="K1438" s="1277"/>
      <c r="L1438" s="1312"/>
      <c r="M1438" s="1312"/>
      <c r="N1438" s="1312"/>
      <c r="O1438" s="1312"/>
    </row>
    <row r="1439" spans="1:15" hidden="1">
      <c r="A1439" s="1312"/>
      <c r="B1439" s="1307" t="s">
        <v>318</v>
      </c>
      <c r="C1439" s="1312"/>
      <c r="D1439" s="972"/>
      <c r="E1439" s="1312"/>
      <c r="F1439" s="1312"/>
      <c r="G1439" s="1312"/>
      <c r="H1439" s="1312"/>
      <c r="I1439" s="1312"/>
      <c r="J1439" s="1312"/>
      <c r="K1439" s="1277"/>
      <c r="L1439" s="1312"/>
      <c r="M1439" s="1312"/>
      <c r="N1439" s="1312"/>
      <c r="O1439" s="1312"/>
    </row>
    <row r="1440" spans="1:15" hidden="1">
      <c r="A1440" s="1312"/>
      <c r="B1440" s="1307" t="s">
        <v>319</v>
      </c>
      <c r="C1440" s="1312"/>
      <c r="D1440" s="972"/>
      <c r="E1440" s="1312"/>
      <c r="F1440" s="1312"/>
      <c r="G1440" s="1312"/>
      <c r="H1440" s="1312"/>
      <c r="I1440" s="1312"/>
      <c r="J1440" s="1312"/>
      <c r="K1440" s="1277"/>
      <c r="L1440" s="1312"/>
      <c r="M1440" s="1312"/>
      <c r="N1440" s="1312"/>
      <c r="O1440" s="1312"/>
    </row>
    <row r="1441" spans="1:15" hidden="1">
      <c r="A1441" s="1312"/>
      <c r="B1441" s="1312"/>
      <c r="C1441" s="1312"/>
      <c r="E1441" s="1312"/>
      <c r="F1441" s="1312"/>
      <c r="G1441" s="1312"/>
      <c r="H1441" s="1312"/>
      <c r="I1441" s="1312"/>
      <c r="J1441" s="1312"/>
      <c r="K1441" s="1277"/>
      <c r="L1441" s="1312"/>
      <c r="M1441" s="1312"/>
      <c r="N1441" s="1312"/>
      <c r="O1441" s="1312"/>
    </row>
    <row r="1442" spans="1:15" hidden="1">
      <c r="A1442" s="1003">
        <v>3</v>
      </c>
      <c r="B1442" s="1307" t="s">
        <v>45</v>
      </c>
      <c r="C1442" s="1312"/>
      <c r="D1442" s="745"/>
      <c r="E1442" s="1026"/>
      <c r="F1442" s="1312"/>
      <c r="G1442" s="1026"/>
      <c r="H1442" s="1312"/>
      <c r="I1442" s="1312"/>
      <c r="J1442" s="1312"/>
      <c r="K1442" s="1316"/>
      <c r="L1442" s="1317"/>
      <c r="M1442" s="1317"/>
      <c r="N1442" s="1312"/>
      <c r="O1442" s="1312"/>
    </row>
    <row r="1443" spans="1:15" hidden="1">
      <c r="A1443" s="1312"/>
      <c r="B1443" s="1318" t="s">
        <v>320</v>
      </c>
      <c r="C1443" s="843"/>
      <c r="D1443" s="993" t="s">
        <v>321</v>
      </c>
      <c r="N1443" s="1312"/>
      <c r="O1443" s="1312"/>
    </row>
    <row r="1444" spans="1:15" hidden="1">
      <c r="A1444" s="1312"/>
      <c r="B1444" s="1319" t="s">
        <v>322</v>
      </c>
      <c r="C1444" s="1312"/>
      <c r="D1444" s="745"/>
      <c r="E1444" s="1026" t="s">
        <v>190</v>
      </c>
      <c r="F1444" s="745">
        <v>1</v>
      </c>
      <c r="G1444" s="745" t="s">
        <v>7</v>
      </c>
      <c r="H1444" s="972"/>
      <c r="I1444" s="972"/>
      <c r="J1444" s="972"/>
      <c r="K1444" s="1320"/>
      <c r="L1444" s="1321"/>
      <c r="M1444" s="1321"/>
      <c r="N1444" s="1247"/>
      <c r="O1444" s="1312"/>
    </row>
    <row r="1445" spans="1:15" hidden="1">
      <c r="A1445" s="1312"/>
      <c r="B1445" s="1319" t="s">
        <v>323</v>
      </c>
      <c r="C1445" s="1312"/>
      <c r="D1445" s="745"/>
      <c r="E1445" s="1026" t="s">
        <v>190</v>
      </c>
      <c r="F1445" s="745">
        <v>1</v>
      </c>
      <c r="G1445" s="745" t="s">
        <v>324</v>
      </c>
      <c r="H1445" s="972">
        <f>ข้อมูลแหล่งราคาวัสดุ!J83</f>
        <v>397.05892351274787</v>
      </c>
      <c r="I1445" s="745" t="s">
        <v>238</v>
      </c>
      <c r="J1445" s="745" t="s">
        <v>190</v>
      </c>
      <c r="K1445" s="745">
        <f>H1445*F1445</f>
        <v>397.05892351274787</v>
      </c>
      <c r="L1445" s="1322" t="s">
        <v>191</v>
      </c>
      <c r="M1445" s="1322"/>
      <c r="N1445" s="1312" t="s">
        <v>193</v>
      </c>
      <c r="O1445" s="1312"/>
    </row>
    <row r="1446" spans="1:15" hidden="1">
      <c r="A1446" s="1312"/>
      <c r="B1446" s="1319" t="s">
        <v>325</v>
      </c>
      <c r="C1446" s="1312"/>
      <c r="D1446" s="745"/>
      <c r="E1446" s="1026" t="s">
        <v>190</v>
      </c>
      <c r="F1446" s="745">
        <v>0.3</v>
      </c>
      <c r="G1446" s="745" t="s">
        <v>324</v>
      </c>
      <c r="H1446" s="972">
        <f>ข้อมูลแหล่งราคาวัสดุ!J83</f>
        <v>397.05892351274787</v>
      </c>
      <c r="I1446" s="745" t="s">
        <v>238</v>
      </c>
      <c r="J1446" s="745" t="s">
        <v>190</v>
      </c>
      <c r="K1446" s="745">
        <f>H1446*F1446</f>
        <v>119.11767705382435</v>
      </c>
      <c r="L1446" s="1322" t="s">
        <v>191</v>
      </c>
      <c r="M1446" s="1322"/>
      <c r="N1446" s="1312" t="s">
        <v>234</v>
      </c>
      <c r="O1446" s="1312"/>
    </row>
    <row r="1447" spans="1:15" hidden="1">
      <c r="A1447" s="1312"/>
      <c r="B1447" s="843" t="s">
        <v>1876</v>
      </c>
      <c r="C1447" s="1312"/>
      <c r="D1447" s="745"/>
      <c r="E1447" s="1026" t="s">
        <v>190</v>
      </c>
      <c r="F1447" s="745">
        <v>0.3</v>
      </c>
      <c r="G1447" s="745" t="s">
        <v>326</v>
      </c>
      <c r="H1447" s="972">
        <v>47.5</v>
      </c>
      <c r="I1447" s="745" t="s">
        <v>238</v>
      </c>
      <c r="J1447" s="745" t="s">
        <v>190</v>
      </c>
      <c r="K1447" s="745">
        <f>H1447*F1447</f>
        <v>14.25</v>
      </c>
      <c r="L1447" s="1322" t="s">
        <v>191</v>
      </c>
      <c r="M1447" s="1322"/>
      <c r="N1447" s="1312" t="s">
        <v>239</v>
      </c>
      <c r="O1447" s="1312"/>
    </row>
    <row r="1448" spans="1:15" hidden="1">
      <c r="A1448" s="1312"/>
      <c r="B1448" s="1319" t="s">
        <v>186</v>
      </c>
      <c r="C1448" s="1026"/>
      <c r="D1448" s="745"/>
      <c r="E1448" s="1026" t="s">
        <v>190</v>
      </c>
      <c r="F1448" s="745">
        <v>0.25</v>
      </c>
      <c r="G1448" s="745" t="s">
        <v>242</v>
      </c>
      <c r="H1448" s="972">
        <f>ข้อมูลแหล่งราคาวัสดุ!J55</f>
        <v>29.137609999999999</v>
      </c>
      <c r="I1448" s="745" t="s">
        <v>238</v>
      </c>
      <c r="J1448" s="745" t="s">
        <v>190</v>
      </c>
      <c r="K1448" s="745">
        <f>H1448*F1448</f>
        <v>7.2844024999999997</v>
      </c>
      <c r="L1448" s="1322" t="s">
        <v>191</v>
      </c>
      <c r="M1448" s="1322"/>
      <c r="N1448" s="1312" t="s">
        <v>244</v>
      </c>
      <c r="O1448" s="1312"/>
    </row>
    <row r="1449" spans="1:15" hidden="1">
      <c r="A1449" s="1312"/>
      <c r="B1449" s="1312"/>
      <c r="C1449" s="1312"/>
      <c r="D1449" s="745"/>
      <c r="E1449" s="1026"/>
      <c r="F1449" s="972"/>
      <c r="G1449" s="745"/>
      <c r="H1449" s="972"/>
      <c r="I1449" s="745" t="s">
        <v>26</v>
      </c>
      <c r="J1449" s="745" t="s">
        <v>190</v>
      </c>
      <c r="K1449" s="745">
        <f>SUM(K1445:K1448)</f>
        <v>537.71100306657229</v>
      </c>
      <c r="L1449" s="1322" t="s">
        <v>191</v>
      </c>
      <c r="M1449" s="1322"/>
      <c r="N1449" s="1312" t="s">
        <v>327</v>
      </c>
      <c r="O1449" s="1312"/>
    </row>
    <row r="1450" spans="1:15" hidden="1">
      <c r="A1450" s="1312"/>
      <c r="B1450" s="1319" t="s">
        <v>328</v>
      </c>
      <c r="C1450" s="1026"/>
      <c r="D1450" s="745"/>
      <c r="E1450" s="1026" t="s">
        <v>190</v>
      </c>
      <c r="F1450" s="972"/>
      <c r="G1450" s="745">
        <f>K1449</f>
        <v>537.71100306657229</v>
      </c>
      <c r="H1450" s="745" t="s">
        <v>241</v>
      </c>
      <c r="I1450" s="745">
        <v>4</v>
      </c>
      <c r="J1450" s="745" t="s">
        <v>190</v>
      </c>
      <c r="K1450" s="745">
        <f>G1450/I1450</f>
        <v>134.42775076664307</v>
      </c>
      <c r="L1450" s="1322" t="s">
        <v>191</v>
      </c>
      <c r="M1450" s="1322"/>
      <c r="N1450" s="1312" t="s">
        <v>329</v>
      </c>
      <c r="O1450" s="1312"/>
    </row>
    <row r="1451" spans="1:15" hidden="1">
      <c r="A1451" s="1312"/>
      <c r="B1451" s="1319" t="s">
        <v>330</v>
      </c>
      <c r="C1451" s="1026"/>
      <c r="D1451" s="745"/>
      <c r="E1451" s="1026" t="s">
        <v>190</v>
      </c>
      <c r="F1451" s="745">
        <v>1</v>
      </c>
      <c r="G1451" s="745" t="s">
        <v>255</v>
      </c>
      <c r="H1451" s="972">
        <v>15</v>
      </c>
      <c r="I1451" s="745" t="s">
        <v>238</v>
      </c>
      <c r="J1451" s="745" t="s">
        <v>190</v>
      </c>
      <c r="K1451" s="745">
        <f>H1451*F1451</f>
        <v>15</v>
      </c>
      <c r="L1451" s="1322" t="s">
        <v>191</v>
      </c>
      <c r="M1451" s="1322"/>
      <c r="N1451" s="1312" t="s">
        <v>246</v>
      </c>
      <c r="O1451" s="1312"/>
    </row>
    <row r="1452" spans="1:15" hidden="1">
      <c r="A1452" s="1312"/>
      <c r="B1452" s="1319" t="s">
        <v>331</v>
      </c>
      <c r="C1452" s="1026"/>
      <c r="D1452" s="745"/>
      <c r="E1452" s="1026" t="s">
        <v>190</v>
      </c>
      <c r="F1452" s="745">
        <v>1</v>
      </c>
      <c r="G1452" s="745" t="s">
        <v>255</v>
      </c>
      <c r="H1452" s="972">
        <v>115</v>
      </c>
      <c r="I1452" s="745" t="s">
        <v>238</v>
      </c>
      <c r="J1452" s="745" t="s">
        <v>190</v>
      </c>
      <c r="K1452" s="745">
        <v>105</v>
      </c>
      <c r="L1452" s="1322" t="s">
        <v>191</v>
      </c>
      <c r="M1452" s="1322"/>
      <c r="N1452" s="1312" t="s">
        <v>247</v>
      </c>
      <c r="O1452" s="1312"/>
    </row>
    <row r="1453" spans="1:15" hidden="1">
      <c r="A1453" s="1312"/>
      <c r="B1453" s="843" t="s">
        <v>332</v>
      </c>
      <c r="C1453" s="1312"/>
      <c r="D1453" s="972"/>
      <c r="E1453" s="1026"/>
      <c r="F1453" s="745"/>
      <c r="G1453" s="1323"/>
      <c r="H1453" s="745"/>
      <c r="I1453" s="1277"/>
      <c r="J1453" s="745" t="s">
        <v>190</v>
      </c>
      <c r="K1453" s="745">
        <f>SUM(K1450:K1452)</f>
        <v>254.42775076664307</v>
      </c>
      <c r="L1453" s="1322" t="s">
        <v>191</v>
      </c>
      <c r="M1453" s="1322"/>
      <c r="N1453" s="1312" t="s">
        <v>333</v>
      </c>
      <c r="O1453" s="1312"/>
    </row>
    <row r="1454" spans="1:15" hidden="1">
      <c r="A1454" s="1312"/>
      <c r="B1454" s="843" t="s">
        <v>266</v>
      </c>
      <c r="C1454" s="1312"/>
      <c r="E1454" s="1026"/>
      <c r="F1454" s="745"/>
      <c r="G1454" s="1323"/>
      <c r="H1454" s="745"/>
      <c r="I1454" s="1277"/>
      <c r="J1454" s="745" t="s">
        <v>190</v>
      </c>
      <c r="K1454" s="745">
        <f>ROUNDDOWN(K1453,0)</f>
        <v>254</v>
      </c>
      <c r="L1454" s="1322" t="s">
        <v>191</v>
      </c>
      <c r="M1454" s="1322"/>
      <c r="N1454" s="1312" t="s">
        <v>196</v>
      </c>
      <c r="O1454" s="1312"/>
    </row>
    <row r="1455" spans="1:15" hidden="1">
      <c r="A1455" s="1312"/>
      <c r="B1455" s="1312"/>
      <c r="C1455" s="1312"/>
      <c r="E1455" s="1026"/>
      <c r="F1455" s="972"/>
      <c r="G1455" s="745"/>
      <c r="H1455" s="972"/>
      <c r="I1455" s="972"/>
      <c r="J1455" s="972"/>
      <c r="K1455" s="1316"/>
      <c r="L1455" s="1317"/>
      <c r="M1455" s="1317"/>
      <c r="O1455" s="1312"/>
    </row>
    <row r="1456" spans="1:15" hidden="1">
      <c r="A1456" s="1312"/>
      <c r="B1456" s="1312"/>
      <c r="C1456" s="1312"/>
      <c r="E1456" s="1026"/>
      <c r="F1456" s="972"/>
      <c r="G1456" s="745"/>
      <c r="H1456" s="972"/>
      <c r="I1456" s="972"/>
      <c r="J1456" s="972"/>
      <c r="K1456" s="1316"/>
      <c r="L1456" s="1317"/>
      <c r="M1456" s="1317"/>
      <c r="O1456" s="1312"/>
    </row>
    <row r="1457" spans="1:15" hidden="1">
      <c r="A1457" s="1312"/>
      <c r="B1457" s="1312"/>
      <c r="C1457" s="1312"/>
      <c r="E1457" s="1026"/>
      <c r="F1457" s="972"/>
      <c r="G1457" s="745"/>
      <c r="H1457" s="972"/>
      <c r="I1457" s="972"/>
      <c r="J1457" s="972"/>
      <c r="K1457" s="1316"/>
      <c r="L1457" s="1317"/>
      <c r="M1457" s="1317"/>
      <c r="O1457" s="1312"/>
    </row>
    <row r="1458" spans="1:15" hidden="1">
      <c r="A1458" s="1312"/>
      <c r="B1458" s="1312"/>
      <c r="C1458" s="1312"/>
      <c r="E1458" s="1026"/>
      <c r="F1458" s="972"/>
      <c r="G1458" s="745"/>
      <c r="H1458" s="972"/>
      <c r="I1458" s="972"/>
      <c r="J1458" s="972"/>
      <c r="K1458" s="1316"/>
      <c r="L1458" s="1317"/>
      <c r="M1458" s="1317"/>
      <c r="O1458" s="1312"/>
    </row>
    <row r="1459" spans="1:15" hidden="1">
      <c r="A1459" s="1312"/>
      <c r="B1459" s="1318" t="s">
        <v>334</v>
      </c>
      <c r="C1459" s="1312"/>
      <c r="D1459" s="993" t="s">
        <v>335</v>
      </c>
      <c r="E1459" s="1026"/>
      <c r="F1459" s="972"/>
      <c r="G1459" s="745"/>
      <c r="H1459" s="972"/>
      <c r="I1459" s="972"/>
      <c r="J1459" s="972"/>
      <c r="K1459" s="1316"/>
      <c r="L1459" s="1317"/>
      <c r="M1459" s="1317"/>
      <c r="N1459" s="1312"/>
      <c r="O1459" s="1312"/>
    </row>
    <row r="1460" spans="1:15" hidden="1">
      <c r="A1460" s="1312"/>
      <c r="B1460" s="1318"/>
      <c r="C1460" s="1312"/>
      <c r="D1460" s="993" t="s">
        <v>336</v>
      </c>
      <c r="E1460" s="1026"/>
      <c r="F1460" s="972"/>
      <c r="G1460" s="745"/>
      <c r="H1460" s="972"/>
      <c r="I1460" s="972"/>
      <c r="J1460" s="972"/>
      <c r="K1460" s="1316"/>
      <c r="L1460" s="1317"/>
      <c r="M1460" s="1317"/>
      <c r="N1460" s="1312"/>
      <c r="O1460" s="1312"/>
    </row>
    <row r="1461" spans="1:15" hidden="1">
      <c r="A1461" s="1312"/>
      <c r="B1461" s="1319" t="s">
        <v>322</v>
      </c>
      <c r="C1461" s="1312"/>
      <c r="D1461" s="745"/>
      <c r="E1461" s="1026" t="s">
        <v>190</v>
      </c>
      <c r="F1461" s="745">
        <v>1</v>
      </c>
      <c r="G1461" s="745" t="s">
        <v>7</v>
      </c>
      <c r="H1461" s="972"/>
      <c r="I1461" s="972"/>
      <c r="J1461" s="1324"/>
      <c r="K1461" s="1320"/>
      <c r="L1461" s="1325"/>
      <c r="M1461" s="1325"/>
      <c r="N1461" s="1247"/>
      <c r="O1461" s="1312"/>
    </row>
    <row r="1462" spans="1:15" hidden="1">
      <c r="A1462" s="1312"/>
      <c r="B1462" s="1319" t="s">
        <v>323</v>
      </c>
      <c r="C1462" s="1312"/>
      <c r="D1462" s="745"/>
      <c r="E1462" s="1026" t="s">
        <v>190</v>
      </c>
      <c r="F1462" s="745">
        <v>1</v>
      </c>
      <c r="G1462" s="745" t="s">
        <v>324</v>
      </c>
      <c r="H1462" s="972">
        <f>ข้อมูลแหล่งราคาวัสดุ!J83</f>
        <v>397.05892351274787</v>
      </c>
      <c r="I1462" s="745" t="s">
        <v>238</v>
      </c>
      <c r="J1462" s="745" t="s">
        <v>190</v>
      </c>
      <c r="K1462" s="745">
        <f>H1462*F1462</f>
        <v>397.05892351274787</v>
      </c>
      <c r="L1462" s="1319" t="s">
        <v>191</v>
      </c>
      <c r="M1462" s="1319"/>
      <c r="N1462" s="1312" t="s">
        <v>193</v>
      </c>
      <c r="O1462" s="1312"/>
    </row>
    <row r="1463" spans="1:15" hidden="1">
      <c r="A1463" s="1312"/>
      <c r="B1463" s="1319" t="s">
        <v>325</v>
      </c>
      <c r="C1463" s="1312"/>
      <c r="D1463" s="745"/>
      <c r="E1463" s="1026" t="s">
        <v>190</v>
      </c>
      <c r="F1463" s="745">
        <v>0.3</v>
      </c>
      <c r="G1463" s="745" t="s">
        <v>324</v>
      </c>
      <c r="H1463" s="972">
        <f>ข้อมูลแหล่งราคาวัสดุ!J83</f>
        <v>397.05892351274787</v>
      </c>
      <c r="I1463" s="745" t="s">
        <v>238</v>
      </c>
      <c r="J1463" s="745" t="s">
        <v>190</v>
      </c>
      <c r="K1463" s="745">
        <f>H1463*F1463</f>
        <v>119.11767705382435</v>
      </c>
      <c r="L1463" s="1319" t="s">
        <v>191</v>
      </c>
      <c r="M1463" s="1319"/>
      <c r="N1463" s="1312" t="s">
        <v>234</v>
      </c>
      <c r="O1463" s="1312"/>
    </row>
    <row r="1464" spans="1:15" hidden="1">
      <c r="A1464" s="1312"/>
      <c r="B1464" s="843" t="s">
        <v>1876</v>
      </c>
      <c r="C1464" s="1312"/>
      <c r="D1464" s="745"/>
      <c r="E1464" s="1026" t="s">
        <v>190</v>
      </c>
      <c r="F1464" s="745">
        <v>0.3</v>
      </c>
      <c r="G1464" s="745" t="s">
        <v>326</v>
      </c>
      <c r="H1464" s="972">
        <v>47.5</v>
      </c>
      <c r="I1464" s="745" t="s">
        <v>238</v>
      </c>
      <c r="J1464" s="745" t="s">
        <v>190</v>
      </c>
      <c r="K1464" s="745">
        <f>H1464*F1464</f>
        <v>14.25</v>
      </c>
      <c r="L1464" s="1319" t="s">
        <v>191</v>
      </c>
      <c r="M1464" s="1319"/>
      <c r="N1464" s="1312" t="s">
        <v>239</v>
      </c>
      <c r="O1464" s="1312"/>
    </row>
    <row r="1465" spans="1:15" hidden="1">
      <c r="A1465" s="1312"/>
      <c r="B1465" s="1319" t="s">
        <v>186</v>
      </c>
      <c r="C1465" s="1026"/>
      <c r="D1465" s="745"/>
      <c r="E1465" s="1026" t="s">
        <v>190</v>
      </c>
      <c r="F1465" s="745">
        <v>0.25</v>
      </c>
      <c r="G1465" s="745" t="s">
        <v>242</v>
      </c>
      <c r="H1465" s="972">
        <f>ข้อมูลแหล่งราคาวัสดุ!J55</f>
        <v>29.137609999999999</v>
      </c>
      <c r="I1465" s="745" t="s">
        <v>238</v>
      </c>
      <c r="J1465" s="745" t="s">
        <v>190</v>
      </c>
      <c r="K1465" s="745">
        <f>H1465*F1465</f>
        <v>7.2844024999999997</v>
      </c>
      <c r="L1465" s="1319" t="s">
        <v>191</v>
      </c>
      <c r="M1465" s="1319"/>
      <c r="N1465" s="1312" t="s">
        <v>244</v>
      </c>
      <c r="O1465" s="1312"/>
    </row>
    <row r="1466" spans="1:15" hidden="1">
      <c r="A1466" s="1312"/>
      <c r="B1466" s="1319"/>
      <c r="C1466" s="1312"/>
      <c r="D1466" s="745"/>
      <c r="E1466" s="1026"/>
      <c r="F1466" s="972"/>
      <c r="G1466" s="972"/>
      <c r="H1466" s="972"/>
      <c r="I1466" s="745" t="s">
        <v>26</v>
      </c>
      <c r="J1466" s="745" t="s">
        <v>190</v>
      </c>
      <c r="K1466" s="745">
        <f>SUM(K1462:K1465)</f>
        <v>537.71100306657229</v>
      </c>
      <c r="L1466" s="1319" t="s">
        <v>191</v>
      </c>
      <c r="M1466" s="1319"/>
      <c r="N1466" s="1312" t="s">
        <v>327</v>
      </c>
      <c r="O1466" s="1312"/>
    </row>
    <row r="1467" spans="1:15" hidden="1">
      <c r="A1467" s="1312"/>
      <c r="B1467" s="1319" t="s">
        <v>337</v>
      </c>
      <c r="C1467" s="1026"/>
      <c r="D1467" s="745"/>
      <c r="E1467" s="1026" t="s">
        <v>190</v>
      </c>
      <c r="F1467" s="972"/>
      <c r="G1467" s="745">
        <f>K1466</f>
        <v>537.71100306657229</v>
      </c>
      <c r="H1467" s="745" t="s">
        <v>241</v>
      </c>
      <c r="I1467" s="745">
        <v>5</v>
      </c>
      <c r="J1467" s="745" t="s">
        <v>190</v>
      </c>
      <c r="K1467" s="745">
        <f>G1467/I1467</f>
        <v>107.54220061331446</v>
      </c>
      <c r="L1467" s="1319" t="s">
        <v>191</v>
      </c>
      <c r="M1467" s="1319"/>
      <c r="N1467" s="1312" t="s">
        <v>338</v>
      </c>
      <c r="O1467" s="1312"/>
    </row>
    <row r="1468" spans="1:15" hidden="1">
      <c r="A1468" s="1312"/>
      <c r="B1468" s="1319" t="s">
        <v>330</v>
      </c>
      <c r="C1468" s="1026"/>
      <c r="D1468" s="745"/>
      <c r="E1468" s="1026" t="s">
        <v>190</v>
      </c>
      <c r="F1468" s="745">
        <v>1</v>
      </c>
      <c r="G1468" s="745" t="s">
        <v>255</v>
      </c>
      <c r="H1468" s="972">
        <v>15</v>
      </c>
      <c r="I1468" s="745" t="s">
        <v>238</v>
      </c>
      <c r="J1468" s="745" t="s">
        <v>190</v>
      </c>
      <c r="K1468" s="745">
        <f>H1468*F1468</f>
        <v>15</v>
      </c>
      <c r="L1468" s="1319" t="s">
        <v>191</v>
      </c>
      <c r="M1468" s="1319"/>
      <c r="N1468" s="1312" t="s">
        <v>246</v>
      </c>
      <c r="O1468" s="1312"/>
    </row>
    <row r="1469" spans="1:15" hidden="1">
      <c r="A1469" s="1312"/>
      <c r="B1469" s="1319" t="s">
        <v>331</v>
      </c>
      <c r="C1469" s="1026"/>
      <c r="D1469" s="745"/>
      <c r="E1469" s="1026" t="s">
        <v>190</v>
      </c>
      <c r="F1469" s="745">
        <v>1</v>
      </c>
      <c r="G1469" s="745" t="s">
        <v>255</v>
      </c>
      <c r="H1469" s="972">
        <v>115</v>
      </c>
      <c r="I1469" s="745" t="s">
        <v>238</v>
      </c>
      <c r="J1469" s="745" t="s">
        <v>190</v>
      </c>
      <c r="K1469" s="745">
        <v>105</v>
      </c>
      <c r="L1469" s="1319" t="s">
        <v>191</v>
      </c>
      <c r="M1469" s="1319"/>
      <c r="N1469" s="1312" t="s">
        <v>247</v>
      </c>
      <c r="O1469" s="1312"/>
    </row>
    <row r="1470" spans="1:15" hidden="1">
      <c r="A1470" s="1312"/>
      <c r="B1470" s="843" t="s">
        <v>332</v>
      </c>
      <c r="C1470" s="1312"/>
      <c r="D1470" s="972"/>
      <c r="E1470" s="1026"/>
      <c r="F1470" s="745"/>
      <c r="G1470" s="1323"/>
      <c r="H1470" s="745"/>
      <c r="I1470" s="1277"/>
      <c r="J1470" s="745" t="s">
        <v>190</v>
      </c>
      <c r="K1470" s="745">
        <f>SUM(K1467:K1469)</f>
        <v>227.54220061331446</v>
      </c>
      <c r="L1470" s="1319" t="s">
        <v>191</v>
      </c>
      <c r="M1470" s="1319"/>
      <c r="N1470" s="1312" t="s">
        <v>333</v>
      </c>
      <c r="O1470" s="1312"/>
    </row>
    <row r="1471" spans="1:15" hidden="1">
      <c r="A1471" s="1312"/>
      <c r="B1471" s="843" t="s">
        <v>266</v>
      </c>
      <c r="C1471" s="1312"/>
      <c r="D1471" s="972"/>
      <c r="E1471" s="1026"/>
      <c r="F1471" s="745"/>
      <c r="G1471" s="1323"/>
      <c r="H1471" s="745"/>
      <c r="I1471" s="1277"/>
      <c r="J1471" s="745" t="s">
        <v>190</v>
      </c>
      <c r="K1471" s="745">
        <f>ROUNDDOWN(K1470,0)</f>
        <v>227</v>
      </c>
      <c r="L1471" s="1319" t="s">
        <v>191</v>
      </c>
      <c r="M1471" s="1319"/>
      <c r="N1471" s="1312" t="s">
        <v>196</v>
      </c>
      <c r="O1471" s="1312"/>
    </row>
    <row r="1472" spans="1:15" hidden="1">
      <c r="A1472" s="1312"/>
      <c r="B1472" s="1312"/>
      <c r="C1472" s="1312"/>
      <c r="D1472" s="745"/>
      <c r="E1472" s="1312"/>
      <c r="F1472" s="972"/>
      <c r="G1472" s="972"/>
      <c r="H1472" s="972"/>
      <c r="I1472" s="972"/>
      <c r="J1472" s="1085"/>
      <c r="K1472" s="1316"/>
      <c r="L1472" s="1247"/>
      <c r="M1472" s="1247"/>
      <c r="O1472" s="1312"/>
    </row>
    <row r="1473" spans="1:15" hidden="1">
      <c r="A1473" s="1312"/>
      <c r="B1473" s="1318" t="s">
        <v>339</v>
      </c>
      <c r="C1473" s="843"/>
      <c r="D1473" s="745"/>
      <c r="E1473" s="976"/>
      <c r="F1473" s="978"/>
      <c r="G1473" s="978"/>
      <c r="H1473" s="978"/>
      <c r="I1473" s="978"/>
      <c r="J1473" s="978"/>
      <c r="K1473" s="978"/>
      <c r="N1473" s="1312"/>
      <c r="O1473" s="1312"/>
    </row>
    <row r="1474" spans="1:15" hidden="1">
      <c r="A1474" s="1312"/>
      <c r="B1474" s="1319" t="s">
        <v>322</v>
      </c>
      <c r="C1474" s="843"/>
      <c r="D1474" s="745"/>
      <c r="E1474" s="1026" t="s">
        <v>190</v>
      </c>
      <c r="F1474" s="745">
        <v>1</v>
      </c>
      <c r="G1474" s="745" t="s">
        <v>7</v>
      </c>
      <c r="H1474" s="972"/>
      <c r="I1474" s="972"/>
      <c r="J1474" s="1085"/>
      <c r="K1474" s="1316"/>
      <c r="L1474" s="1247"/>
      <c r="M1474" s="1247"/>
      <c r="N1474" s="1312"/>
      <c r="O1474" s="1312"/>
    </row>
    <row r="1475" spans="1:15" hidden="1">
      <c r="A1475" s="1312"/>
      <c r="B1475" s="1319" t="s">
        <v>323</v>
      </c>
      <c r="C1475" s="1312"/>
      <c r="D1475" s="745"/>
      <c r="E1475" s="1026" t="s">
        <v>190</v>
      </c>
      <c r="F1475" s="745">
        <v>1</v>
      </c>
      <c r="G1475" s="745" t="s">
        <v>324</v>
      </c>
      <c r="H1475" s="972">
        <f>ข้อมูลแหล่งราคาวัสดุ!J83</f>
        <v>397.05892351274787</v>
      </c>
      <c r="I1475" s="745" t="s">
        <v>238</v>
      </c>
      <c r="J1475" s="745" t="s">
        <v>190</v>
      </c>
      <c r="K1475" s="745">
        <f>H1475*F1475</f>
        <v>397.05892351274787</v>
      </c>
      <c r="L1475" s="1319" t="s">
        <v>191</v>
      </c>
      <c r="M1475" s="1319"/>
      <c r="N1475" s="1312" t="s">
        <v>193</v>
      </c>
      <c r="O1475" s="1312"/>
    </row>
    <row r="1476" spans="1:15" hidden="1">
      <c r="A1476" s="1312"/>
      <c r="B1476" s="1319" t="s">
        <v>340</v>
      </c>
      <c r="C1476" s="1312"/>
      <c r="D1476" s="745"/>
      <c r="E1476" s="1026" t="s">
        <v>190</v>
      </c>
      <c r="F1476" s="745">
        <v>1</v>
      </c>
      <c r="G1476" s="745" t="s">
        <v>255</v>
      </c>
      <c r="H1476" s="972">
        <v>94.92</v>
      </c>
      <c r="I1476" s="745" t="s">
        <v>238</v>
      </c>
      <c r="J1476" s="745" t="s">
        <v>190</v>
      </c>
      <c r="K1476" s="745">
        <f>H1476*F1476</f>
        <v>94.92</v>
      </c>
      <c r="L1476" s="1319" t="s">
        <v>191</v>
      </c>
      <c r="M1476" s="1319"/>
      <c r="N1476" s="1312" t="s">
        <v>234</v>
      </c>
      <c r="O1476" s="1312"/>
    </row>
    <row r="1477" spans="1:15" hidden="1">
      <c r="A1477" s="1312"/>
      <c r="B1477" s="1319" t="s">
        <v>325</v>
      </c>
      <c r="C1477" s="1312"/>
      <c r="D1477" s="972"/>
      <c r="E1477" s="1026" t="s">
        <v>190</v>
      </c>
      <c r="F1477" s="745">
        <v>0.3</v>
      </c>
      <c r="G1477" s="745" t="s">
        <v>324</v>
      </c>
      <c r="H1477" s="972">
        <f>ข้อมูลแหล่งราคาวัสดุ!J83</f>
        <v>397.05892351274787</v>
      </c>
      <c r="I1477" s="745" t="s">
        <v>238</v>
      </c>
      <c r="J1477" s="745" t="s">
        <v>190</v>
      </c>
      <c r="K1477" s="745">
        <f>H1477*F1477</f>
        <v>119.11767705382435</v>
      </c>
      <c r="L1477" s="1319" t="s">
        <v>191</v>
      </c>
      <c r="M1477" s="1319"/>
      <c r="N1477" s="1312" t="s">
        <v>239</v>
      </c>
      <c r="O1477" s="1312"/>
    </row>
    <row r="1478" spans="1:15" hidden="1">
      <c r="A1478" s="1312"/>
      <c r="B1478" s="1319" t="s">
        <v>186</v>
      </c>
      <c r="C1478" s="1026"/>
      <c r="D1478" s="972"/>
      <c r="E1478" s="1026" t="s">
        <v>190</v>
      </c>
      <c r="F1478" s="745">
        <v>0.25</v>
      </c>
      <c r="G1478" s="745" t="s">
        <v>242</v>
      </c>
      <c r="H1478" s="972">
        <f>ข้อมูลแหล่งราคาวัสดุ!J55</f>
        <v>29.137609999999999</v>
      </c>
      <c r="I1478" s="745" t="s">
        <v>238</v>
      </c>
      <c r="J1478" s="745" t="s">
        <v>190</v>
      </c>
      <c r="K1478" s="745">
        <f>H1478*F1478</f>
        <v>7.2844024999999997</v>
      </c>
      <c r="L1478" s="1319" t="s">
        <v>191</v>
      </c>
      <c r="M1478" s="1319"/>
      <c r="N1478" s="1312" t="s">
        <v>244</v>
      </c>
      <c r="O1478" s="1312"/>
    </row>
    <row r="1479" spans="1:15" hidden="1">
      <c r="A1479" s="1312"/>
      <c r="B1479" s="1319"/>
      <c r="C1479" s="1312"/>
      <c r="D1479" s="745"/>
      <c r="E1479" s="1312"/>
      <c r="F1479" s="972"/>
      <c r="G1479" s="972"/>
      <c r="H1479" s="972"/>
      <c r="I1479" s="745" t="s">
        <v>26</v>
      </c>
      <c r="J1479" s="745" t="s">
        <v>190</v>
      </c>
      <c r="K1479" s="745">
        <f>SUM(K1475:K1478)</f>
        <v>618.38100306657225</v>
      </c>
      <c r="L1479" s="1319" t="s">
        <v>191</v>
      </c>
      <c r="M1479" s="1319"/>
      <c r="N1479" s="1312" t="s">
        <v>327</v>
      </c>
      <c r="O1479" s="1312"/>
    </row>
    <row r="1480" spans="1:15" hidden="1">
      <c r="A1480" s="1312"/>
      <c r="B1480" s="1319" t="s">
        <v>341</v>
      </c>
      <c r="C1480" s="1026"/>
      <c r="D1480" s="745"/>
      <c r="E1480" s="1026" t="s">
        <v>190</v>
      </c>
      <c r="F1480" s="972"/>
      <c r="G1480" s="745">
        <f>K1479</f>
        <v>618.38100306657225</v>
      </c>
      <c r="H1480" s="745" t="s">
        <v>241</v>
      </c>
      <c r="I1480" s="745">
        <v>3</v>
      </c>
      <c r="J1480" s="745" t="s">
        <v>190</v>
      </c>
      <c r="K1480" s="745">
        <f>G1480/I1480</f>
        <v>206.12700102219074</v>
      </c>
      <c r="L1480" s="1319" t="s">
        <v>191</v>
      </c>
      <c r="M1480" s="1319"/>
      <c r="N1480" s="1312" t="s">
        <v>342</v>
      </c>
      <c r="O1480" s="1312"/>
    </row>
    <row r="1481" spans="1:15" hidden="1">
      <c r="A1481" s="1312"/>
      <c r="B1481" s="1319" t="s">
        <v>330</v>
      </c>
      <c r="C1481" s="1026"/>
      <c r="D1481" s="745"/>
      <c r="E1481" s="1026" t="s">
        <v>190</v>
      </c>
      <c r="F1481" s="745">
        <v>1</v>
      </c>
      <c r="G1481" s="745" t="s">
        <v>255</v>
      </c>
      <c r="H1481" s="972">
        <v>15</v>
      </c>
      <c r="I1481" s="745" t="s">
        <v>238</v>
      </c>
      <c r="J1481" s="745" t="s">
        <v>190</v>
      </c>
      <c r="K1481" s="745">
        <f>H1481*F1481</f>
        <v>15</v>
      </c>
      <c r="L1481" s="1319" t="s">
        <v>191</v>
      </c>
      <c r="M1481" s="1319"/>
      <c r="N1481" s="1312" t="s">
        <v>246</v>
      </c>
      <c r="O1481" s="1312"/>
    </row>
    <row r="1482" spans="1:15" hidden="1">
      <c r="A1482" s="1312"/>
      <c r="B1482" s="1319" t="s">
        <v>331</v>
      </c>
      <c r="C1482" s="1026"/>
      <c r="D1482" s="745"/>
      <c r="E1482" s="1026" t="s">
        <v>190</v>
      </c>
      <c r="F1482" s="745">
        <v>1</v>
      </c>
      <c r="G1482" s="745" t="s">
        <v>255</v>
      </c>
      <c r="H1482" s="1277">
        <v>115</v>
      </c>
      <c r="I1482" s="745" t="s">
        <v>238</v>
      </c>
      <c r="J1482" s="745" t="s">
        <v>190</v>
      </c>
      <c r="K1482" s="745">
        <f>H1482*F1482</f>
        <v>115</v>
      </c>
      <c r="L1482" s="1319" t="s">
        <v>191</v>
      </c>
      <c r="M1482" s="1319"/>
      <c r="N1482" s="1312" t="s">
        <v>247</v>
      </c>
      <c r="O1482" s="1312"/>
    </row>
    <row r="1483" spans="1:15" hidden="1">
      <c r="A1483" s="1312"/>
      <c r="B1483" s="843" t="s">
        <v>332</v>
      </c>
      <c r="C1483" s="1312"/>
      <c r="D1483" s="972"/>
      <c r="E1483" s="1026"/>
      <c r="F1483" s="745"/>
      <c r="G1483" s="1323"/>
      <c r="H1483" s="745"/>
      <c r="I1483" s="1277"/>
      <c r="J1483" s="745" t="s">
        <v>190</v>
      </c>
      <c r="K1483" s="745">
        <f>SUM(K1480:K1482)</f>
        <v>336.12700102219071</v>
      </c>
      <c r="L1483" s="1319" t="s">
        <v>191</v>
      </c>
      <c r="M1483" s="1319"/>
      <c r="N1483" s="1312" t="s">
        <v>333</v>
      </c>
      <c r="O1483" s="1312"/>
    </row>
    <row r="1484" spans="1:15" hidden="1">
      <c r="A1484" s="1312"/>
      <c r="B1484" s="843" t="s">
        <v>266</v>
      </c>
      <c r="C1484" s="1312"/>
      <c r="D1484" s="972"/>
      <c r="E1484" s="1026"/>
      <c r="F1484" s="745"/>
      <c r="G1484" s="1323"/>
      <c r="H1484" s="745"/>
      <c r="I1484" s="1277"/>
      <c r="J1484" s="745" t="s">
        <v>190</v>
      </c>
      <c r="K1484" s="745">
        <f>ROUNDDOWN(K1483,0)</f>
        <v>336</v>
      </c>
      <c r="L1484" s="1319" t="s">
        <v>191</v>
      </c>
      <c r="M1484" s="1319"/>
      <c r="N1484" s="1312" t="s">
        <v>196</v>
      </c>
      <c r="O1484" s="1312"/>
    </row>
    <row r="1485" spans="1:15" ht="22.5" thickTop="1">
      <c r="A1485" s="1312"/>
      <c r="B1485" s="1312"/>
      <c r="C1485" s="1312"/>
      <c r="D1485" s="972"/>
      <c r="E1485" s="1312"/>
      <c r="F1485" s="1312"/>
      <c r="G1485" s="1312"/>
      <c r="H1485" s="1312"/>
      <c r="I1485" s="1312"/>
      <c r="J1485" s="1312"/>
      <c r="K1485" s="1277"/>
      <c r="L1485" s="1312"/>
      <c r="M1485" s="1312"/>
      <c r="O1485" s="1312"/>
    </row>
    <row r="1486" spans="1:15">
      <c r="A1486" s="1312"/>
      <c r="B1486" s="1307" t="s">
        <v>2103</v>
      </c>
      <c r="C1486" s="1312"/>
      <c r="D1486" s="972"/>
      <c r="E1486" s="1312"/>
      <c r="F1486" s="1312"/>
      <c r="G1486" s="1312"/>
      <c r="H1486" s="1312"/>
      <c r="I1486" s="1312"/>
      <c r="J1486" s="1312"/>
      <c r="K1486" s="1277"/>
      <c r="L1486" s="1312"/>
      <c r="M1486" s="1312"/>
      <c r="N1486" s="1312"/>
      <c r="O1486" s="1312"/>
    </row>
    <row r="1487" spans="1:15">
      <c r="A1487" s="1312"/>
      <c r="B1487" s="1307" t="s">
        <v>292</v>
      </c>
      <c r="E1487" s="1312"/>
      <c r="F1487" s="1312"/>
      <c r="G1487" s="1312"/>
      <c r="H1487" s="1312"/>
      <c r="I1487" s="1312"/>
      <c r="J1487" s="1312"/>
      <c r="K1487" s="1277"/>
      <c r="L1487" s="1312"/>
      <c r="M1487" s="1312"/>
      <c r="N1487" s="1312"/>
      <c r="O1487" s="1312"/>
    </row>
    <row r="1488" spans="1:15">
      <c r="A1488" s="1312"/>
      <c r="B1488" s="1312"/>
      <c r="N1488" s="1312"/>
      <c r="O1488" s="1312"/>
    </row>
    <row r="1489" spans="14:15">
      <c r="N1489" s="1312"/>
      <c r="O1489" s="1312"/>
    </row>
    <row r="1490" spans="14:15">
      <c r="O1490" s="1312"/>
    </row>
  </sheetData>
  <mergeCells count="360">
    <mergeCell ref="Q647:Q648"/>
    <mergeCell ref="R647:R648"/>
    <mergeCell ref="S647:S648"/>
    <mergeCell ref="T647:U647"/>
    <mergeCell ref="W647:X647"/>
    <mergeCell ref="Y647:Y648"/>
    <mergeCell ref="T623:U623"/>
    <mergeCell ref="BE692:BG692"/>
    <mergeCell ref="BF693:BF694"/>
    <mergeCell ref="BG693:BG694"/>
    <mergeCell ref="AE693:AG693"/>
    <mergeCell ref="V693:X693"/>
    <mergeCell ref="AW693:AY693"/>
    <mergeCell ref="BS698:BU698"/>
    <mergeCell ref="BP698:BR698"/>
    <mergeCell ref="O623:P624"/>
    <mergeCell ref="S623:S624"/>
    <mergeCell ref="R623:R624"/>
    <mergeCell ref="Q623:Q624"/>
    <mergeCell ref="W623:X623"/>
    <mergeCell ref="Y623:Y624"/>
    <mergeCell ref="O635:P636"/>
    <mergeCell ref="Q635:Q636"/>
    <mergeCell ref="R635:R636"/>
    <mergeCell ref="S635:S636"/>
    <mergeCell ref="T635:U635"/>
    <mergeCell ref="W635:X635"/>
    <mergeCell ref="Y635:Y636"/>
    <mergeCell ref="P692:P693"/>
    <mergeCell ref="AH693:AJ693"/>
    <mergeCell ref="AK693:AM693"/>
    <mergeCell ref="AN693:AP693"/>
    <mergeCell ref="AQ693:AS693"/>
    <mergeCell ref="Y693:AA693"/>
    <mergeCell ref="AB693:AD693"/>
    <mergeCell ref="V692:AY692"/>
    <mergeCell ref="AT693:AV693"/>
    <mergeCell ref="C493:E493"/>
    <mergeCell ref="C496:E496"/>
    <mergeCell ref="C495:E495"/>
    <mergeCell ref="C494:E494"/>
    <mergeCell ref="C506:E506"/>
    <mergeCell ref="C507:E507"/>
    <mergeCell ref="C508:E508"/>
    <mergeCell ref="C611:C612"/>
    <mergeCell ref="D610:E610"/>
    <mergeCell ref="D611:E612"/>
    <mergeCell ref="F610:G610"/>
    <mergeCell ref="F611:G611"/>
    <mergeCell ref="F612:G612"/>
    <mergeCell ref="D618:E618"/>
    <mergeCell ref="F618:G618"/>
    <mergeCell ref="D613:E613"/>
    <mergeCell ref="F613:G613"/>
    <mergeCell ref="D614:E614"/>
    <mergeCell ref="F614:G614"/>
    <mergeCell ref="C477:C481"/>
    <mergeCell ref="E477:F477"/>
    <mergeCell ref="E479:F479"/>
    <mergeCell ref="E480:F480"/>
    <mergeCell ref="E481:F481"/>
    <mergeCell ref="E478:F478"/>
    <mergeCell ref="C467:C471"/>
    <mergeCell ref="E467:F467"/>
    <mergeCell ref="E469:F469"/>
    <mergeCell ref="E470:F470"/>
    <mergeCell ref="E471:F471"/>
    <mergeCell ref="C472:C476"/>
    <mergeCell ref="E472:F472"/>
    <mergeCell ref="E474:F474"/>
    <mergeCell ref="E475:F475"/>
    <mergeCell ref="E476:F476"/>
    <mergeCell ref="E468:F468"/>
    <mergeCell ref="E473:F473"/>
    <mergeCell ref="C457:C461"/>
    <mergeCell ref="E457:F457"/>
    <mergeCell ref="E459:F459"/>
    <mergeCell ref="E460:F460"/>
    <mergeCell ref="E461:F461"/>
    <mergeCell ref="C462:C466"/>
    <mergeCell ref="E462:F462"/>
    <mergeCell ref="E464:F464"/>
    <mergeCell ref="E465:F465"/>
    <mergeCell ref="E466:F466"/>
    <mergeCell ref="E458:F458"/>
    <mergeCell ref="E463:F463"/>
    <mergeCell ref="O454:O456"/>
    <mergeCell ref="P454:P455"/>
    <mergeCell ref="Q454:Q455"/>
    <mergeCell ref="R454:R456"/>
    <mergeCell ref="S454:S456"/>
    <mergeCell ref="T454:T456"/>
    <mergeCell ref="U454:U456"/>
    <mergeCell ref="V454:V456"/>
    <mergeCell ref="K409:K411"/>
    <mergeCell ref="U409:U411"/>
    <mergeCell ref="V409:V411"/>
    <mergeCell ref="H409:H411"/>
    <mergeCell ref="I409:I411"/>
    <mergeCell ref="J409:J411"/>
    <mergeCell ref="E424:F424"/>
    <mergeCell ref="E425:F425"/>
    <mergeCell ref="E412:F412"/>
    <mergeCell ref="E414:F414"/>
    <mergeCell ref="E415:F415"/>
    <mergeCell ref="E416:F416"/>
    <mergeCell ref="E417:F417"/>
    <mergeCell ref="E413:F413"/>
    <mergeCell ref="E418:F418"/>
    <mergeCell ref="E423:F423"/>
    <mergeCell ref="E338:F338"/>
    <mergeCell ref="E332:F332"/>
    <mergeCell ref="E333:F333"/>
    <mergeCell ref="E334:F334"/>
    <mergeCell ref="E335:F335"/>
    <mergeCell ref="E336:F336"/>
    <mergeCell ref="B203:D203"/>
    <mergeCell ref="E203:G203"/>
    <mergeCell ref="H203:J203"/>
    <mergeCell ref="E163:F163"/>
    <mergeCell ref="B189:D189"/>
    <mergeCell ref="E189:G189"/>
    <mergeCell ref="H189:J189"/>
    <mergeCell ref="B190:D190"/>
    <mergeCell ref="E190:G190"/>
    <mergeCell ref="H190:J190"/>
    <mergeCell ref="B201:D201"/>
    <mergeCell ref="E337:F337"/>
    <mergeCell ref="B3:I3"/>
    <mergeCell ref="A1:M1"/>
    <mergeCell ref="A2:M2"/>
    <mergeCell ref="K201:L201"/>
    <mergeCell ref="B202:D202"/>
    <mergeCell ref="K202:L202"/>
    <mergeCell ref="B191:D191"/>
    <mergeCell ref="E191:G191"/>
    <mergeCell ref="H191:J191"/>
    <mergeCell ref="B192:D192"/>
    <mergeCell ref="E192:G192"/>
    <mergeCell ref="H192:J192"/>
    <mergeCell ref="D151:H151"/>
    <mergeCell ref="B188:D188"/>
    <mergeCell ref="E188:G188"/>
    <mergeCell ref="H188:J188"/>
    <mergeCell ref="E164:F164"/>
    <mergeCell ref="E165:F165"/>
    <mergeCell ref="D161:G161"/>
    <mergeCell ref="H161:K161"/>
    <mergeCell ref="D152:H152"/>
    <mergeCell ref="D153:H153"/>
    <mergeCell ref="D154:H154"/>
    <mergeCell ref="E162:F162"/>
    <mergeCell ref="K203:L203"/>
    <mergeCell ref="B204:D204"/>
    <mergeCell ref="E204:G204"/>
    <mergeCell ref="H204:J204"/>
    <mergeCell ref="K204:L204"/>
    <mergeCell ref="B205:D205"/>
    <mergeCell ref="E205:G205"/>
    <mergeCell ref="H205:J205"/>
    <mergeCell ref="D378:E381"/>
    <mergeCell ref="F378:F381"/>
    <mergeCell ref="G378:G381"/>
    <mergeCell ref="H370:H373"/>
    <mergeCell ref="I372:J373"/>
    <mergeCell ref="K205:L205"/>
    <mergeCell ref="B206:D206"/>
    <mergeCell ref="E206:G206"/>
    <mergeCell ref="H206:J206"/>
    <mergeCell ref="K206:L206"/>
    <mergeCell ref="E339:F339"/>
    <mergeCell ref="E340:F340"/>
    <mergeCell ref="E341:F341"/>
    <mergeCell ref="E342:F342"/>
    <mergeCell ref="E343:F343"/>
    <mergeCell ref="D370:G370"/>
    <mergeCell ref="D371:F371"/>
    <mergeCell ref="D372:E373"/>
    <mergeCell ref="F372:F373"/>
    <mergeCell ref="G371:G373"/>
    <mergeCell ref="D374:E377"/>
    <mergeCell ref="F374:F377"/>
    <mergeCell ref="G374:G377"/>
    <mergeCell ref="C412:C416"/>
    <mergeCell ref="C417:C421"/>
    <mergeCell ref="C370:C373"/>
    <mergeCell ref="C374:C377"/>
    <mergeCell ref="C378:C381"/>
    <mergeCell ref="C386:C389"/>
    <mergeCell ref="D386:E389"/>
    <mergeCell ref="F386:F389"/>
    <mergeCell ref="G386:G389"/>
    <mergeCell ref="C390:C393"/>
    <mergeCell ref="D390:E393"/>
    <mergeCell ref="F390:F393"/>
    <mergeCell ref="G390:G393"/>
    <mergeCell ref="C409:C411"/>
    <mergeCell ref="D409:D411"/>
    <mergeCell ref="E409:F411"/>
    <mergeCell ref="G409:G411"/>
    <mergeCell ref="C427:C431"/>
    <mergeCell ref="C432:C436"/>
    <mergeCell ref="E419:F419"/>
    <mergeCell ref="E420:F420"/>
    <mergeCell ref="E421:F421"/>
    <mergeCell ref="E422:F422"/>
    <mergeCell ref="C454:C456"/>
    <mergeCell ref="D454:D456"/>
    <mergeCell ref="E454:F456"/>
    <mergeCell ref="C422:C426"/>
    <mergeCell ref="E428:F428"/>
    <mergeCell ref="E433:F433"/>
    <mergeCell ref="E435:F435"/>
    <mergeCell ref="E436:F436"/>
    <mergeCell ref="E426:F426"/>
    <mergeCell ref="E427:F427"/>
    <mergeCell ref="E429:F429"/>
    <mergeCell ref="E430:F430"/>
    <mergeCell ref="E431:F431"/>
    <mergeCell ref="E432:F432"/>
    <mergeCell ref="E434:F434"/>
    <mergeCell ref="G454:G456"/>
    <mergeCell ref="H454:H456"/>
    <mergeCell ref="I454:I456"/>
    <mergeCell ref="J454:J456"/>
    <mergeCell ref="D619:E619"/>
    <mergeCell ref="F619:G619"/>
    <mergeCell ref="D620:E620"/>
    <mergeCell ref="F620:G620"/>
    <mergeCell ref="D615:E615"/>
    <mergeCell ref="F615:G615"/>
    <mergeCell ref="D616:E616"/>
    <mergeCell ref="F616:G616"/>
    <mergeCell ref="D617:E617"/>
    <mergeCell ref="F617:G617"/>
    <mergeCell ref="J612:K612"/>
    <mergeCell ref="H618:I618"/>
    <mergeCell ref="H619:I619"/>
    <mergeCell ref="H620:I620"/>
    <mergeCell ref="J613:K613"/>
    <mergeCell ref="J614:K614"/>
    <mergeCell ref="J615:K615"/>
    <mergeCell ref="J616:K616"/>
    <mergeCell ref="J617:K617"/>
    <mergeCell ref="J618:K618"/>
    <mergeCell ref="J620:K620"/>
    <mergeCell ref="H613:I613"/>
    <mergeCell ref="H614:I614"/>
    <mergeCell ref="H615:I615"/>
    <mergeCell ref="H616:I616"/>
    <mergeCell ref="H617:I617"/>
    <mergeCell ref="H610:I610"/>
    <mergeCell ref="H611:I611"/>
    <mergeCell ref="H612:I612"/>
    <mergeCell ref="J610:K610"/>
    <mergeCell ref="J611:K611"/>
    <mergeCell ref="J619:K619"/>
    <mergeCell ref="I371:L371"/>
    <mergeCell ref="I374:J374"/>
    <mergeCell ref="K374:L374"/>
    <mergeCell ref="M374:N374"/>
    <mergeCell ref="M379:N379"/>
    <mergeCell ref="I380:J380"/>
    <mergeCell ref="K380:L380"/>
    <mergeCell ref="M380:N380"/>
    <mergeCell ref="M375:N375"/>
    <mergeCell ref="K375:L375"/>
    <mergeCell ref="I375:J375"/>
    <mergeCell ref="I376:J376"/>
    <mergeCell ref="K376:L376"/>
    <mergeCell ref="M376:N376"/>
    <mergeCell ref="I377:J377"/>
    <mergeCell ref="K377:L377"/>
    <mergeCell ref="M377:N377"/>
    <mergeCell ref="K387:L387"/>
    <mergeCell ref="M387:N387"/>
    <mergeCell ref="I388:J388"/>
    <mergeCell ref="K388:L388"/>
    <mergeCell ref="M388:N388"/>
    <mergeCell ref="I389:J389"/>
    <mergeCell ref="K389:L389"/>
    <mergeCell ref="M389:N389"/>
    <mergeCell ref="I384:J384"/>
    <mergeCell ref="K384:L384"/>
    <mergeCell ref="M384:N384"/>
    <mergeCell ref="I385:J385"/>
    <mergeCell ref="K385:L385"/>
    <mergeCell ref="M385:N385"/>
    <mergeCell ref="I386:J386"/>
    <mergeCell ref="K386:L386"/>
    <mergeCell ref="M386:N386"/>
    <mergeCell ref="I387:J387"/>
    <mergeCell ref="K390:L390"/>
    <mergeCell ref="M390:N390"/>
    <mergeCell ref="I392:J392"/>
    <mergeCell ref="K392:L392"/>
    <mergeCell ref="M392:N392"/>
    <mergeCell ref="I393:J393"/>
    <mergeCell ref="K393:L393"/>
    <mergeCell ref="M393:N393"/>
    <mergeCell ref="I391:J391"/>
    <mergeCell ref="K391:L391"/>
    <mergeCell ref="M391:N391"/>
    <mergeCell ref="I390:J390"/>
    <mergeCell ref="R364:R365"/>
    <mergeCell ref="Q371:S371"/>
    <mergeCell ref="O371:O373"/>
    <mergeCell ref="C382:C385"/>
    <mergeCell ref="D382:E385"/>
    <mergeCell ref="F382:F385"/>
    <mergeCell ref="G382:G385"/>
    <mergeCell ref="I381:J381"/>
    <mergeCell ref="K381:L381"/>
    <mergeCell ref="M381:N381"/>
    <mergeCell ref="I382:J382"/>
    <mergeCell ref="K382:L382"/>
    <mergeCell ref="M382:N382"/>
    <mergeCell ref="I383:J383"/>
    <mergeCell ref="K383:L383"/>
    <mergeCell ref="M383:N383"/>
    <mergeCell ref="I378:J378"/>
    <mergeCell ref="K378:L378"/>
    <mergeCell ref="M378:N378"/>
    <mergeCell ref="I379:J379"/>
    <mergeCell ref="K379:L379"/>
    <mergeCell ref="K372:L373"/>
    <mergeCell ref="M371:N373"/>
    <mergeCell ref="I370:N370"/>
    <mergeCell ref="W409:W411"/>
    <mergeCell ref="R409:R411"/>
    <mergeCell ref="O409:O411"/>
    <mergeCell ref="P409:P410"/>
    <mergeCell ref="Q409:Q410"/>
    <mergeCell ref="S409:S411"/>
    <mergeCell ref="T409:T411"/>
    <mergeCell ref="U371:W371"/>
    <mergeCell ref="P371:P372"/>
    <mergeCell ref="T371:T372"/>
    <mergeCell ref="C660:D660"/>
    <mergeCell ref="E660:G660"/>
    <mergeCell ref="L662:M662"/>
    <mergeCell ref="L661:N661"/>
    <mergeCell ref="I661:J661"/>
    <mergeCell ref="K661:K662"/>
    <mergeCell ref="H661:H662"/>
    <mergeCell ref="C661:C662"/>
    <mergeCell ref="D661:D662"/>
    <mergeCell ref="E661:E662"/>
    <mergeCell ref="G661:G662"/>
    <mergeCell ref="F661:F662"/>
    <mergeCell ref="H660:N660"/>
    <mergeCell ref="L663:M663"/>
    <mergeCell ref="L664:M664"/>
    <mergeCell ref="L665:M665"/>
    <mergeCell ref="L666:M666"/>
    <mergeCell ref="L667:M667"/>
    <mergeCell ref="L668:M668"/>
    <mergeCell ref="L669:M669"/>
    <mergeCell ref="L670:M670"/>
    <mergeCell ref="O647:P648"/>
  </mergeCells>
  <dataValidations disablePrompts="1" count="1">
    <dataValidation type="list" allowBlank="1" showInputMessage="1" showErrorMessage="1" sqref="F9">
      <formula1>ถางป่า</formula1>
    </dataValidation>
  </dataValidations>
  <printOptions horizontalCentered="1"/>
  <pageMargins left="0.59055118110236227" right="0.19685039370078741" top="0.78740157480314965" bottom="0.19685039370078741" header="0" footer="0"/>
  <pageSetup paperSize="9" scale="75" orientation="portrait" blackAndWhite="1" horizontalDpi="4294967293" r:id="rId1"/>
  <headerFooter>
    <oddHeader>&amp;R&amp;"Angsana New,ธรรมดา"&amp;12ราคาต้นทุนงานทาง สะพานและท่อลอดเหลี่ยม &amp;P / &amp;N</oddHead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L28"/>
  <sheetViews>
    <sheetView showGridLines="0" view="pageBreakPreview" topLeftCell="A19" zoomScaleSheetLayoutView="100" workbookViewId="0">
      <selection activeCell="L26" sqref="L26"/>
    </sheetView>
  </sheetViews>
  <sheetFormatPr defaultColWidth="9" defaultRowHeight="24"/>
  <cols>
    <col min="1" max="1" width="2.375" style="1326" customWidth="1"/>
    <col min="2" max="5" width="10.75" style="1326" customWidth="1"/>
    <col min="6" max="6" width="7.75" style="1326" customWidth="1"/>
    <col min="7" max="7" width="10.25" style="1326" bestFit="1" customWidth="1"/>
    <col min="8" max="8" width="5.375" style="1326" customWidth="1"/>
    <col min="9" max="9" width="10.75" style="1326" customWidth="1"/>
    <col min="10" max="10" width="7.625" style="1326" customWidth="1"/>
    <col min="11" max="11" width="11.625" style="1327" bestFit="1" customWidth="1"/>
    <col min="12" max="12" width="11.75" style="1326" customWidth="1"/>
    <col min="13" max="16384" width="9" style="1326"/>
  </cols>
  <sheetData>
    <row r="1" spans="1:12" ht="21" customHeight="1">
      <c r="A1" s="1706" t="s">
        <v>1413</v>
      </c>
      <c r="B1" s="1706"/>
      <c r="C1" s="1706"/>
      <c r="D1" s="1706"/>
      <c r="E1" s="1706"/>
      <c r="F1" s="1706"/>
      <c r="G1" s="1706"/>
      <c r="H1" s="1706"/>
      <c r="I1" s="1706"/>
      <c r="J1" s="1706"/>
      <c r="K1" s="1706"/>
      <c r="L1" s="1706"/>
    </row>
    <row r="2" spans="1:12" ht="21" customHeight="1"/>
    <row r="3" spans="1:12">
      <c r="A3" s="1328" t="s">
        <v>1414</v>
      </c>
    </row>
    <row r="4" spans="1:12">
      <c r="B4" s="1326" t="s">
        <v>1415</v>
      </c>
      <c r="F4" s="1329" t="s">
        <v>209</v>
      </c>
      <c r="G4" s="1330">
        <v>30000</v>
      </c>
      <c r="H4" s="1326" t="s">
        <v>1416</v>
      </c>
    </row>
    <row r="5" spans="1:12">
      <c r="B5" s="1326" t="s">
        <v>1417</v>
      </c>
      <c r="J5" s="1329"/>
    </row>
    <row r="6" spans="1:12">
      <c r="B6" s="1326">
        <v>1</v>
      </c>
      <c r="C6" s="1326" t="s">
        <v>1418</v>
      </c>
      <c r="F6" s="1326" t="s">
        <v>1419</v>
      </c>
      <c r="G6" s="1330">
        <v>30000</v>
      </c>
      <c r="H6" s="1326" t="s">
        <v>1416</v>
      </c>
      <c r="J6" s="1329"/>
    </row>
    <row r="7" spans="1:12">
      <c r="B7" s="1326">
        <v>2</v>
      </c>
      <c r="C7" s="1326" t="s">
        <v>1420</v>
      </c>
      <c r="F7" s="1326" t="s">
        <v>1419</v>
      </c>
      <c r="G7" s="1330">
        <v>29000</v>
      </c>
      <c r="H7" s="1326" t="s">
        <v>1416</v>
      </c>
      <c r="J7" s="1329"/>
    </row>
    <row r="8" spans="1:12">
      <c r="B8" s="1326">
        <v>3</v>
      </c>
      <c r="C8" s="1326" t="s">
        <v>1421</v>
      </c>
      <c r="F8" s="1326" t="s">
        <v>1419</v>
      </c>
      <c r="G8" s="1330">
        <v>28000</v>
      </c>
      <c r="H8" s="1326" t="s">
        <v>1416</v>
      </c>
      <c r="J8" s="1329"/>
    </row>
    <row r="9" spans="1:12">
      <c r="G9" s="1328" t="s">
        <v>266</v>
      </c>
      <c r="K9" s="1331">
        <v>27000</v>
      </c>
      <c r="L9" s="1328" t="s">
        <v>1416</v>
      </c>
    </row>
    <row r="10" spans="1:12">
      <c r="G10" s="1328" t="s">
        <v>1422</v>
      </c>
      <c r="K10" s="1332">
        <v>3</v>
      </c>
      <c r="L10" s="1328" t="s">
        <v>420</v>
      </c>
    </row>
    <row r="11" spans="1:12" ht="26.25">
      <c r="G11" s="1328" t="s">
        <v>1423</v>
      </c>
      <c r="K11" s="1333">
        <f>K9*K10</f>
        <v>81000</v>
      </c>
      <c r="L11" s="1328" t="s">
        <v>1416</v>
      </c>
    </row>
    <row r="12" spans="1:12">
      <c r="A12" s="1706" t="s">
        <v>1424</v>
      </c>
      <c r="B12" s="1706"/>
      <c r="C12" s="1706"/>
      <c r="D12" s="1706"/>
      <c r="E12" s="1706"/>
      <c r="F12" s="1706"/>
      <c r="G12" s="1706"/>
      <c r="H12" s="1706"/>
      <c r="I12" s="1706"/>
      <c r="J12" s="1706"/>
      <c r="K12" s="1706"/>
      <c r="L12" s="1706"/>
    </row>
    <row r="14" spans="1:12">
      <c r="A14" s="1328" t="s">
        <v>1425</v>
      </c>
      <c r="E14" s="1334" t="s">
        <v>1802</v>
      </c>
    </row>
    <row r="15" spans="1:12">
      <c r="A15" s="1335"/>
      <c r="B15" s="1326" t="s">
        <v>1803</v>
      </c>
      <c r="F15" s="1336" t="s">
        <v>190</v>
      </c>
      <c r="G15" s="1337">
        <v>2</v>
      </c>
      <c r="H15" s="1338" t="s">
        <v>595</v>
      </c>
      <c r="I15" s="1339">
        <v>5656</v>
      </c>
      <c r="J15" s="1326" t="s">
        <v>1426</v>
      </c>
      <c r="K15" s="1339">
        <f t="shared" ref="K15:K20" si="0">I15*G15</f>
        <v>11312</v>
      </c>
      <c r="L15" s="1326" t="s">
        <v>238</v>
      </c>
    </row>
    <row r="16" spans="1:12">
      <c r="B16" s="1326" t="s">
        <v>1427</v>
      </c>
      <c r="F16" s="1336" t="s">
        <v>190</v>
      </c>
      <c r="G16" s="1337">
        <v>2</v>
      </c>
      <c r="H16" s="1338" t="s">
        <v>595</v>
      </c>
      <c r="I16" s="1339">
        <v>4648</v>
      </c>
      <c r="J16" s="1326" t="s">
        <v>1426</v>
      </c>
      <c r="K16" s="1339">
        <f t="shared" si="0"/>
        <v>9296</v>
      </c>
      <c r="L16" s="1326" t="s">
        <v>238</v>
      </c>
    </row>
    <row r="17" spans="2:12">
      <c r="B17" s="1326" t="s">
        <v>1804</v>
      </c>
      <c r="F17" s="1336" t="s">
        <v>190</v>
      </c>
      <c r="G17" s="1337">
        <v>2</v>
      </c>
      <c r="H17" s="1338" t="s">
        <v>595</v>
      </c>
      <c r="I17" s="1339">
        <v>4648</v>
      </c>
      <c r="J17" s="1326" t="s">
        <v>1426</v>
      </c>
      <c r="K17" s="1339">
        <f>I17*G17</f>
        <v>9296</v>
      </c>
      <c r="L17" s="1326" t="s">
        <v>238</v>
      </c>
    </row>
    <row r="18" spans="2:12">
      <c r="B18" s="1326" t="s">
        <v>1428</v>
      </c>
      <c r="F18" s="1336" t="s">
        <v>190</v>
      </c>
      <c r="G18" s="1337">
        <v>2</v>
      </c>
      <c r="H18" s="1338" t="s">
        <v>595</v>
      </c>
      <c r="I18" s="1339">
        <v>1241</v>
      </c>
      <c r="J18" s="1326" t="s">
        <v>1426</v>
      </c>
      <c r="K18" s="1339">
        <f t="shared" si="0"/>
        <v>2482</v>
      </c>
      <c r="L18" s="1326" t="s">
        <v>238</v>
      </c>
    </row>
    <row r="19" spans="2:12">
      <c r="B19" s="1326" t="s">
        <v>1429</v>
      </c>
      <c r="F19" s="1336" t="s">
        <v>190</v>
      </c>
      <c r="G19" s="1337">
        <v>2</v>
      </c>
      <c r="H19" s="1338" t="s">
        <v>595</v>
      </c>
      <c r="I19" s="1339">
        <v>1145</v>
      </c>
      <c r="J19" s="1326" t="s">
        <v>1426</v>
      </c>
      <c r="K19" s="1339">
        <f t="shared" si="0"/>
        <v>2290</v>
      </c>
      <c r="L19" s="1326" t="s">
        <v>238</v>
      </c>
    </row>
    <row r="20" spans="2:12">
      <c r="B20" s="1326" t="s">
        <v>1430</v>
      </c>
      <c r="F20" s="1336" t="s">
        <v>190</v>
      </c>
      <c r="G20" s="1337">
        <v>20</v>
      </c>
      <c r="H20" s="1338" t="s">
        <v>595</v>
      </c>
      <c r="I20" s="1339">
        <v>117</v>
      </c>
      <c r="J20" s="1326" t="s">
        <v>1426</v>
      </c>
      <c r="K20" s="1339">
        <f t="shared" si="0"/>
        <v>2340</v>
      </c>
      <c r="L20" s="1326" t="s">
        <v>238</v>
      </c>
    </row>
    <row r="21" spans="2:12">
      <c r="G21" s="1327"/>
      <c r="H21" s="1338"/>
      <c r="I21" s="1337"/>
      <c r="K21" s="1339"/>
    </row>
    <row r="22" spans="2:12">
      <c r="H22" s="1340"/>
      <c r="I22" s="1336" t="s">
        <v>332</v>
      </c>
      <c r="J22" s="1341" t="s">
        <v>1431</v>
      </c>
      <c r="K22" s="1339">
        <f>SUM(K15:K21)</f>
        <v>37016</v>
      </c>
      <c r="L22" s="1326" t="s">
        <v>1432</v>
      </c>
    </row>
    <row r="23" spans="2:12">
      <c r="H23" s="1340"/>
      <c r="I23" s="1336"/>
      <c r="J23" s="1341" t="s">
        <v>1431</v>
      </c>
      <c r="K23" s="1339">
        <f>K22/12</f>
        <v>3084.6666666666665</v>
      </c>
      <c r="L23" s="1326" t="s">
        <v>1416</v>
      </c>
    </row>
    <row r="24" spans="2:12">
      <c r="J24" s="1341"/>
    </row>
    <row r="25" spans="2:12">
      <c r="H25" s="1328"/>
      <c r="I25" s="1342" t="s">
        <v>266</v>
      </c>
      <c r="J25" s="1343" t="s">
        <v>1431</v>
      </c>
      <c r="K25" s="1331">
        <f>ROUNDDOWN(K23,-1)</f>
        <v>3080</v>
      </c>
      <c r="L25" s="1328" t="s">
        <v>1416</v>
      </c>
    </row>
    <row r="26" spans="2:12">
      <c r="J26" s="1343"/>
    </row>
    <row r="27" spans="2:12">
      <c r="I27" s="1342" t="s">
        <v>1422</v>
      </c>
      <c r="J27" s="1343" t="s">
        <v>1431</v>
      </c>
      <c r="K27" s="1344">
        <v>3</v>
      </c>
      <c r="L27" s="1328" t="s">
        <v>420</v>
      </c>
    </row>
    <row r="28" spans="2:12" ht="26.25">
      <c r="I28" s="1342" t="s">
        <v>1423</v>
      </c>
      <c r="J28" s="1343" t="s">
        <v>1431</v>
      </c>
      <c r="K28" s="1345">
        <f>K25*K27</f>
        <v>9240</v>
      </c>
      <c r="L28" s="1328" t="s">
        <v>1416</v>
      </c>
    </row>
  </sheetData>
  <mergeCells count="2">
    <mergeCell ref="A1:L1"/>
    <mergeCell ref="A12:L12"/>
  </mergeCells>
  <pageMargins left="0.70866141732283472" right="0.70866141732283472" top="0.74803149606299213" bottom="0.74803149606299213" header="0.31496062992125984" footer="0.31496062992125984"/>
  <pageSetup paperSize="9" scale="77" orientation="portrait" blackAndWhite="1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DW29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34" sqref="H34"/>
    </sheetView>
  </sheetViews>
  <sheetFormatPr defaultColWidth="14.625" defaultRowHeight="21"/>
  <cols>
    <col min="1" max="1" width="4.625" style="17" customWidth="1"/>
    <col min="2" max="2" width="32.125" style="16" customWidth="1"/>
    <col min="3" max="3" width="10" style="16" customWidth="1"/>
    <col min="4" max="5" width="8.875" style="16" customWidth="1"/>
    <col min="6" max="6" width="7.375" style="16" customWidth="1"/>
    <col min="7" max="7" width="7.125" style="16" customWidth="1"/>
    <col min="8" max="8" width="6.75" style="16" customWidth="1"/>
    <col min="9" max="9" width="14.625" style="4" customWidth="1"/>
    <col min="10" max="10" width="4.625" style="17" customWidth="1"/>
    <col min="11" max="11" width="32.125" style="16" customWidth="1"/>
    <col min="12" max="67" width="10" style="16" customWidth="1"/>
    <col min="68" max="69" width="8.875" style="16" customWidth="1"/>
    <col min="70" max="70" width="7.375" style="16" customWidth="1"/>
    <col min="71" max="71" width="7.125" style="16" customWidth="1"/>
    <col min="72" max="72" width="6.75" style="16" customWidth="1"/>
    <col min="73" max="74" width="8.875" style="16" customWidth="1"/>
    <col min="75" max="75" width="7.375" style="16" customWidth="1"/>
    <col min="76" max="76" width="7.125" style="16" customWidth="1"/>
    <col min="77" max="77" width="6.75" style="16" customWidth="1"/>
    <col min="78" max="79" width="8.875" style="16" customWidth="1"/>
    <col min="80" max="80" width="7.375" style="16" customWidth="1"/>
    <col min="81" max="81" width="7.125" style="16" customWidth="1"/>
    <col min="82" max="82" width="6.75" style="16" customWidth="1"/>
    <col min="83" max="84" width="8.875" style="16" customWidth="1"/>
    <col min="85" max="85" width="7.375" style="16" customWidth="1"/>
    <col min="86" max="86" width="7.125" style="16" customWidth="1"/>
    <col min="87" max="87" width="6.75" style="16" customWidth="1"/>
    <col min="88" max="311" width="14.625" style="4"/>
    <col min="312" max="312" width="8.375" style="4" customWidth="1"/>
    <col min="313" max="313" width="49.375" style="4" customWidth="1"/>
    <col min="314" max="315" width="17.625" style="4" customWidth="1"/>
    <col min="316" max="319" width="15.75" style="4" customWidth="1"/>
    <col min="320" max="330" width="14.625" style="4" customWidth="1"/>
    <col min="331" max="567" width="14.625" style="4"/>
    <col min="568" max="568" width="8.375" style="4" customWidth="1"/>
    <col min="569" max="569" width="49.375" style="4" customWidth="1"/>
    <col min="570" max="571" width="17.625" style="4" customWidth="1"/>
    <col min="572" max="575" width="15.75" style="4" customWidth="1"/>
    <col min="576" max="586" width="14.625" style="4" customWidth="1"/>
    <col min="587" max="823" width="14.625" style="4"/>
    <col min="824" max="824" width="8.375" style="4" customWidth="1"/>
    <col min="825" max="825" width="49.375" style="4" customWidth="1"/>
    <col min="826" max="827" width="17.625" style="4" customWidth="1"/>
    <col min="828" max="831" width="15.75" style="4" customWidth="1"/>
    <col min="832" max="842" width="14.625" style="4" customWidth="1"/>
    <col min="843" max="1079" width="14.625" style="4"/>
    <col min="1080" max="1080" width="8.375" style="4" customWidth="1"/>
    <col min="1081" max="1081" width="49.375" style="4" customWidth="1"/>
    <col min="1082" max="1083" width="17.625" style="4" customWidth="1"/>
    <col min="1084" max="1087" width="15.75" style="4" customWidth="1"/>
    <col min="1088" max="1098" width="14.625" style="4" customWidth="1"/>
    <col min="1099" max="1335" width="14.625" style="4"/>
    <col min="1336" max="1336" width="8.375" style="4" customWidth="1"/>
    <col min="1337" max="1337" width="49.375" style="4" customWidth="1"/>
    <col min="1338" max="1339" width="17.625" style="4" customWidth="1"/>
    <col min="1340" max="1343" width="15.75" style="4" customWidth="1"/>
    <col min="1344" max="1354" width="14.625" style="4" customWidth="1"/>
    <col min="1355" max="1591" width="14.625" style="4"/>
    <col min="1592" max="1592" width="8.375" style="4" customWidth="1"/>
    <col min="1593" max="1593" width="49.375" style="4" customWidth="1"/>
    <col min="1594" max="1595" width="17.625" style="4" customWidth="1"/>
    <col min="1596" max="1599" width="15.75" style="4" customWidth="1"/>
    <col min="1600" max="1610" width="14.625" style="4" customWidth="1"/>
    <col min="1611" max="1847" width="14.625" style="4"/>
    <col min="1848" max="1848" width="8.375" style="4" customWidth="1"/>
    <col min="1849" max="1849" width="49.375" style="4" customWidth="1"/>
    <col min="1850" max="1851" width="17.625" style="4" customWidth="1"/>
    <col min="1852" max="1855" width="15.75" style="4" customWidth="1"/>
    <col min="1856" max="1866" width="14.625" style="4" customWidth="1"/>
    <col min="1867" max="2103" width="14.625" style="4"/>
    <col min="2104" max="2104" width="8.375" style="4" customWidth="1"/>
    <col min="2105" max="2105" width="49.375" style="4" customWidth="1"/>
    <col min="2106" max="2107" width="17.625" style="4" customWidth="1"/>
    <col min="2108" max="2111" width="15.75" style="4" customWidth="1"/>
    <col min="2112" max="2122" width="14.625" style="4" customWidth="1"/>
    <col min="2123" max="2359" width="14.625" style="4"/>
    <col min="2360" max="2360" width="8.375" style="4" customWidth="1"/>
    <col min="2361" max="2361" width="49.375" style="4" customWidth="1"/>
    <col min="2362" max="2363" width="17.625" style="4" customWidth="1"/>
    <col min="2364" max="2367" width="15.75" style="4" customWidth="1"/>
    <col min="2368" max="2378" width="14.625" style="4" customWidth="1"/>
    <col min="2379" max="2615" width="14.625" style="4"/>
    <col min="2616" max="2616" width="8.375" style="4" customWidth="1"/>
    <col min="2617" max="2617" width="49.375" style="4" customWidth="1"/>
    <col min="2618" max="2619" width="17.625" style="4" customWidth="1"/>
    <col min="2620" max="2623" width="15.75" style="4" customWidth="1"/>
    <col min="2624" max="2634" width="14.625" style="4" customWidth="1"/>
    <col min="2635" max="2871" width="14.625" style="4"/>
    <col min="2872" max="2872" width="8.375" style="4" customWidth="1"/>
    <col min="2873" max="2873" width="49.375" style="4" customWidth="1"/>
    <col min="2874" max="2875" width="17.625" style="4" customWidth="1"/>
    <col min="2876" max="2879" width="15.75" style="4" customWidth="1"/>
    <col min="2880" max="2890" width="14.625" style="4" customWidth="1"/>
    <col min="2891" max="3127" width="14.625" style="4"/>
    <col min="3128" max="3128" width="8.375" style="4" customWidth="1"/>
    <col min="3129" max="3129" width="49.375" style="4" customWidth="1"/>
    <col min="3130" max="3131" width="17.625" style="4" customWidth="1"/>
    <col min="3132" max="3135" width="15.75" style="4" customWidth="1"/>
    <col min="3136" max="3146" width="14.625" style="4" customWidth="1"/>
    <col min="3147" max="3383" width="14.625" style="4"/>
    <col min="3384" max="3384" width="8.375" style="4" customWidth="1"/>
    <col min="3385" max="3385" width="49.375" style="4" customWidth="1"/>
    <col min="3386" max="3387" width="17.625" style="4" customWidth="1"/>
    <col min="3388" max="3391" width="15.75" style="4" customWidth="1"/>
    <col min="3392" max="3402" width="14.625" style="4" customWidth="1"/>
    <col min="3403" max="3639" width="14.625" style="4"/>
    <col min="3640" max="3640" width="8.375" style="4" customWidth="1"/>
    <col min="3641" max="3641" width="49.375" style="4" customWidth="1"/>
    <col min="3642" max="3643" width="17.625" style="4" customWidth="1"/>
    <col min="3644" max="3647" width="15.75" style="4" customWidth="1"/>
    <col min="3648" max="3658" width="14.625" style="4" customWidth="1"/>
    <col min="3659" max="3895" width="14.625" style="4"/>
    <col min="3896" max="3896" width="8.375" style="4" customWidth="1"/>
    <col min="3897" max="3897" width="49.375" style="4" customWidth="1"/>
    <col min="3898" max="3899" width="17.625" style="4" customWidth="1"/>
    <col min="3900" max="3903" width="15.75" style="4" customWidth="1"/>
    <col min="3904" max="3914" width="14.625" style="4" customWidth="1"/>
    <col min="3915" max="4151" width="14.625" style="4"/>
    <col min="4152" max="4152" width="8.375" style="4" customWidth="1"/>
    <col min="4153" max="4153" width="49.375" style="4" customWidth="1"/>
    <col min="4154" max="4155" width="17.625" style="4" customWidth="1"/>
    <col min="4156" max="4159" width="15.75" style="4" customWidth="1"/>
    <col min="4160" max="4170" width="14.625" style="4" customWidth="1"/>
    <col min="4171" max="4407" width="14.625" style="4"/>
    <col min="4408" max="4408" width="8.375" style="4" customWidth="1"/>
    <col min="4409" max="4409" width="49.375" style="4" customWidth="1"/>
    <col min="4410" max="4411" width="17.625" style="4" customWidth="1"/>
    <col min="4412" max="4415" width="15.75" style="4" customWidth="1"/>
    <col min="4416" max="4426" width="14.625" style="4" customWidth="1"/>
    <col min="4427" max="4663" width="14.625" style="4"/>
    <col min="4664" max="4664" width="8.375" style="4" customWidth="1"/>
    <col min="4665" max="4665" width="49.375" style="4" customWidth="1"/>
    <col min="4666" max="4667" width="17.625" style="4" customWidth="1"/>
    <col min="4668" max="4671" width="15.75" style="4" customWidth="1"/>
    <col min="4672" max="4682" width="14.625" style="4" customWidth="1"/>
    <col min="4683" max="4919" width="14.625" style="4"/>
    <col min="4920" max="4920" width="8.375" style="4" customWidth="1"/>
    <col min="4921" max="4921" width="49.375" style="4" customWidth="1"/>
    <col min="4922" max="4923" width="17.625" style="4" customWidth="1"/>
    <col min="4924" max="4927" width="15.75" style="4" customWidth="1"/>
    <col min="4928" max="4938" width="14.625" style="4" customWidth="1"/>
    <col min="4939" max="5175" width="14.625" style="4"/>
    <col min="5176" max="5176" width="8.375" style="4" customWidth="1"/>
    <col min="5177" max="5177" width="49.375" style="4" customWidth="1"/>
    <col min="5178" max="5179" width="17.625" style="4" customWidth="1"/>
    <col min="5180" max="5183" width="15.75" style="4" customWidth="1"/>
    <col min="5184" max="5194" width="14.625" style="4" customWidth="1"/>
    <col min="5195" max="5431" width="14.625" style="4"/>
    <col min="5432" max="5432" width="8.375" style="4" customWidth="1"/>
    <col min="5433" max="5433" width="49.375" style="4" customWidth="1"/>
    <col min="5434" max="5435" width="17.625" style="4" customWidth="1"/>
    <col min="5436" max="5439" width="15.75" style="4" customWidth="1"/>
    <col min="5440" max="5450" width="14.625" style="4" customWidth="1"/>
    <col min="5451" max="5687" width="14.625" style="4"/>
    <col min="5688" max="5688" width="8.375" style="4" customWidth="1"/>
    <col min="5689" max="5689" width="49.375" style="4" customWidth="1"/>
    <col min="5690" max="5691" width="17.625" style="4" customWidth="1"/>
    <col min="5692" max="5695" width="15.75" style="4" customWidth="1"/>
    <col min="5696" max="5706" width="14.625" style="4" customWidth="1"/>
    <col min="5707" max="5943" width="14.625" style="4"/>
    <col min="5944" max="5944" width="8.375" style="4" customWidth="1"/>
    <col min="5945" max="5945" width="49.375" style="4" customWidth="1"/>
    <col min="5946" max="5947" width="17.625" style="4" customWidth="1"/>
    <col min="5948" max="5951" width="15.75" style="4" customWidth="1"/>
    <col min="5952" max="5962" width="14.625" style="4" customWidth="1"/>
    <col min="5963" max="6199" width="14.625" style="4"/>
    <col min="6200" max="6200" width="8.375" style="4" customWidth="1"/>
    <col min="6201" max="6201" width="49.375" style="4" customWidth="1"/>
    <col min="6202" max="6203" width="17.625" style="4" customWidth="1"/>
    <col min="6204" max="6207" width="15.75" style="4" customWidth="1"/>
    <col min="6208" max="6218" width="14.625" style="4" customWidth="1"/>
    <col min="6219" max="6455" width="14.625" style="4"/>
    <col min="6456" max="6456" width="8.375" style="4" customWidth="1"/>
    <col min="6457" max="6457" width="49.375" style="4" customWidth="1"/>
    <col min="6458" max="6459" width="17.625" style="4" customWidth="1"/>
    <col min="6460" max="6463" width="15.75" style="4" customWidth="1"/>
    <col min="6464" max="6474" width="14.625" style="4" customWidth="1"/>
    <col min="6475" max="6711" width="14.625" style="4"/>
    <col min="6712" max="6712" width="8.375" style="4" customWidth="1"/>
    <col min="6713" max="6713" width="49.375" style="4" customWidth="1"/>
    <col min="6714" max="6715" width="17.625" style="4" customWidth="1"/>
    <col min="6716" max="6719" width="15.75" style="4" customWidth="1"/>
    <col min="6720" max="6730" width="14.625" style="4" customWidth="1"/>
    <col min="6731" max="6967" width="14.625" style="4"/>
    <col min="6968" max="6968" width="8.375" style="4" customWidth="1"/>
    <col min="6969" max="6969" width="49.375" style="4" customWidth="1"/>
    <col min="6970" max="6971" width="17.625" style="4" customWidth="1"/>
    <col min="6972" max="6975" width="15.75" style="4" customWidth="1"/>
    <col min="6976" max="6986" width="14.625" style="4" customWidth="1"/>
    <col min="6987" max="7223" width="14.625" style="4"/>
    <col min="7224" max="7224" width="8.375" style="4" customWidth="1"/>
    <col min="7225" max="7225" width="49.375" style="4" customWidth="1"/>
    <col min="7226" max="7227" width="17.625" style="4" customWidth="1"/>
    <col min="7228" max="7231" width="15.75" style="4" customWidth="1"/>
    <col min="7232" max="7242" width="14.625" style="4" customWidth="1"/>
    <col min="7243" max="7479" width="14.625" style="4"/>
    <col min="7480" max="7480" width="8.375" style="4" customWidth="1"/>
    <col min="7481" max="7481" width="49.375" style="4" customWidth="1"/>
    <col min="7482" max="7483" width="17.625" style="4" customWidth="1"/>
    <col min="7484" max="7487" width="15.75" style="4" customWidth="1"/>
    <col min="7488" max="7498" width="14.625" style="4" customWidth="1"/>
    <col min="7499" max="7735" width="14.625" style="4"/>
    <col min="7736" max="7736" width="8.375" style="4" customWidth="1"/>
    <col min="7737" max="7737" width="49.375" style="4" customWidth="1"/>
    <col min="7738" max="7739" width="17.625" style="4" customWidth="1"/>
    <col min="7740" max="7743" width="15.75" style="4" customWidth="1"/>
    <col min="7744" max="7754" width="14.625" style="4" customWidth="1"/>
    <col min="7755" max="7991" width="14.625" style="4"/>
    <col min="7992" max="7992" width="8.375" style="4" customWidth="1"/>
    <col min="7993" max="7993" width="49.375" style="4" customWidth="1"/>
    <col min="7994" max="7995" width="17.625" style="4" customWidth="1"/>
    <col min="7996" max="7999" width="15.75" style="4" customWidth="1"/>
    <col min="8000" max="8010" width="14.625" style="4" customWidth="1"/>
    <col min="8011" max="8247" width="14.625" style="4"/>
    <col min="8248" max="8248" width="8.375" style="4" customWidth="1"/>
    <col min="8249" max="8249" width="49.375" style="4" customWidth="1"/>
    <col min="8250" max="8251" width="17.625" style="4" customWidth="1"/>
    <col min="8252" max="8255" width="15.75" style="4" customWidth="1"/>
    <col min="8256" max="8266" width="14.625" style="4" customWidth="1"/>
    <col min="8267" max="8503" width="14.625" style="4"/>
    <col min="8504" max="8504" width="8.375" style="4" customWidth="1"/>
    <col min="8505" max="8505" width="49.375" style="4" customWidth="1"/>
    <col min="8506" max="8507" width="17.625" style="4" customWidth="1"/>
    <col min="8508" max="8511" width="15.75" style="4" customWidth="1"/>
    <col min="8512" max="8522" width="14.625" style="4" customWidth="1"/>
    <col min="8523" max="8759" width="14.625" style="4"/>
    <col min="8760" max="8760" width="8.375" style="4" customWidth="1"/>
    <col min="8761" max="8761" width="49.375" style="4" customWidth="1"/>
    <col min="8762" max="8763" width="17.625" style="4" customWidth="1"/>
    <col min="8764" max="8767" width="15.75" style="4" customWidth="1"/>
    <col min="8768" max="8778" width="14.625" style="4" customWidth="1"/>
    <col min="8779" max="9015" width="14.625" style="4"/>
    <col min="9016" max="9016" width="8.375" style="4" customWidth="1"/>
    <col min="9017" max="9017" width="49.375" style="4" customWidth="1"/>
    <col min="9018" max="9019" width="17.625" style="4" customWidth="1"/>
    <col min="9020" max="9023" width="15.75" style="4" customWidth="1"/>
    <col min="9024" max="9034" width="14.625" style="4" customWidth="1"/>
    <col min="9035" max="9271" width="14.625" style="4"/>
    <col min="9272" max="9272" width="8.375" style="4" customWidth="1"/>
    <col min="9273" max="9273" width="49.375" style="4" customWidth="1"/>
    <col min="9274" max="9275" width="17.625" style="4" customWidth="1"/>
    <col min="9276" max="9279" width="15.75" style="4" customWidth="1"/>
    <col min="9280" max="9290" width="14.625" style="4" customWidth="1"/>
    <col min="9291" max="9527" width="14.625" style="4"/>
    <col min="9528" max="9528" width="8.375" style="4" customWidth="1"/>
    <col min="9529" max="9529" width="49.375" style="4" customWidth="1"/>
    <col min="9530" max="9531" width="17.625" style="4" customWidth="1"/>
    <col min="9532" max="9535" width="15.75" style="4" customWidth="1"/>
    <col min="9536" max="9546" width="14.625" style="4" customWidth="1"/>
    <col min="9547" max="9783" width="14.625" style="4"/>
    <col min="9784" max="9784" width="8.375" style="4" customWidth="1"/>
    <col min="9785" max="9785" width="49.375" style="4" customWidth="1"/>
    <col min="9786" max="9787" width="17.625" style="4" customWidth="1"/>
    <col min="9788" max="9791" width="15.75" style="4" customWidth="1"/>
    <col min="9792" max="9802" width="14.625" style="4" customWidth="1"/>
    <col min="9803" max="10039" width="14.625" style="4"/>
    <col min="10040" max="10040" width="8.375" style="4" customWidth="1"/>
    <col min="10041" max="10041" width="49.375" style="4" customWidth="1"/>
    <col min="10042" max="10043" width="17.625" style="4" customWidth="1"/>
    <col min="10044" max="10047" width="15.75" style="4" customWidth="1"/>
    <col min="10048" max="10058" width="14.625" style="4" customWidth="1"/>
    <col min="10059" max="10295" width="14.625" style="4"/>
    <col min="10296" max="10296" width="8.375" style="4" customWidth="1"/>
    <col min="10297" max="10297" width="49.375" style="4" customWidth="1"/>
    <col min="10298" max="10299" width="17.625" style="4" customWidth="1"/>
    <col min="10300" max="10303" width="15.75" style="4" customWidth="1"/>
    <col min="10304" max="10314" width="14.625" style="4" customWidth="1"/>
    <col min="10315" max="10551" width="14.625" style="4"/>
    <col min="10552" max="10552" width="8.375" style="4" customWidth="1"/>
    <col min="10553" max="10553" width="49.375" style="4" customWidth="1"/>
    <col min="10554" max="10555" width="17.625" style="4" customWidth="1"/>
    <col min="10556" max="10559" width="15.75" style="4" customWidth="1"/>
    <col min="10560" max="10570" width="14.625" style="4" customWidth="1"/>
    <col min="10571" max="10807" width="14.625" style="4"/>
    <col min="10808" max="10808" width="8.375" style="4" customWidth="1"/>
    <col min="10809" max="10809" width="49.375" style="4" customWidth="1"/>
    <col min="10810" max="10811" width="17.625" style="4" customWidth="1"/>
    <col min="10812" max="10815" width="15.75" style="4" customWidth="1"/>
    <col min="10816" max="10826" width="14.625" style="4" customWidth="1"/>
    <col min="10827" max="11063" width="14.625" style="4"/>
    <col min="11064" max="11064" width="8.375" style="4" customWidth="1"/>
    <col min="11065" max="11065" width="49.375" style="4" customWidth="1"/>
    <col min="11066" max="11067" width="17.625" style="4" customWidth="1"/>
    <col min="11068" max="11071" width="15.75" style="4" customWidth="1"/>
    <col min="11072" max="11082" width="14.625" style="4" customWidth="1"/>
    <col min="11083" max="11319" width="14.625" style="4"/>
    <col min="11320" max="11320" width="8.375" style="4" customWidth="1"/>
    <col min="11321" max="11321" width="49.375" style="4" customWidth="1"/>
    <col min="11322" max="11323" width="17.625" style="4" customWidth="1"/>
    <col min="11324" max="11327" width="15.75" style="4" customWidth="1"/>
    <col min="11328" max="11338" width="14.625" style="4" customWidth="1"/>
    <col min="11339" max="11575" width="14.625" style="4"/>
    <col min="11576" max="11576" width="8.375" style="4" customWidth="1"/>
    <col min="11577" max="11577" width="49.375" style="4" customWidth="1"/>
    <col min="11578" max="11579" width="17.625" style="4" customWidth="1"/>
    <col min="11580" max="11583" width="15.75" style="4" customWidth="1"/>
    <col min="11584" max="11594" width="14.625" style="4" customWidth="1"/>
    <col min="11595" max="11831" width="14.625" style="4"/>
    <col min="11832" max="11832" width="8.375" style="4" customWidth="1"/>
    <col min="11833" max="11833" width="49.375" style="4" customWidth="1"/>
    <col min="11834" max="11835" width="17.625" style="4" customWidth="1"/>
    <col min="11836" max="11839" width="15.75" style="4" customWidth="1"/>
    <col min="11840" max="11850" width="14.625" style="4" customWidth="1"/>
    <col min="11851" max="12087" width="14.625" style="4"/>
    <col min="12088" max="12088" width="8.375" style="4" customWidth="1"/>
    <col min="12089" max="12089" width="49.375" style="4" customWidth="1"/>
    <col min="12090" max="12091" width="17.625" style="4" customWidth="1"/>
    <col min="12092" max="12095" width="15.75" style="4" customWidth="1"/>
    <col min="12096" max="12106" width="14.625" style="4" customWidth="1"/>
    <col min="12107" max="12343" width="14.625" style="4"/>
    <col min="12344" max="12344" width="8.375" style="4" customWidth="1"/>
    <col min="12345" max="12345" width="49.375" style="4" customWidth="1"/>
    <col min="12346" max="12347" width="17.625" style="4" customWidth="1"/>
    <col min="12348" max="12351" width="15.75" style="4" customWidth="1"/>
    <col min="12352" max="12362" width="14.625" style="4" customWidth="1"/>
    <col min="12363" max="12599" width="14.625" style="4"/>
    <col min="12600" max="12600" width="8.375" style="4" customWidth="1"/>
    <col min="12601" max="12601" width="49.375" style="4" customWidth="1"/>
    <col min="12602" max="12603" width="17.625" style="4" customWidth="1"/>
    <col min="12604" max="12607" width="15.75" style="4" customWidth="1"/>
    <col min="12608" max="12618" width="14.625" style="4" customWidth="1"/>
    <col min="12619" max="12855" width="14.625" style="4"/>
    <col min="12856" max="12856" width="8.375" style="4" customWidth="1"/>
    <col min="12857" max="12857" width="49.375" style="4" customWidth="1"/>
    <col min="12858" max="12859" width="17.625" style="4" customWidth="1"/>
    <col min="12860" max="12863" width="15.75" style="4" customWidth="1"/>
    <col min="12864" max="12874" width="14.625" style="4" customWidth="1"/>
    <col min="12875" max="13111" width="14.625" style="4"/>
    <col min="13112" max="13112" width="8.375" style="4" customWidth="1"/>
    <col min="13113" max="13113" width="49.375" style="4" customWidth="1"/>
    <col min="13114" max="13115" width="17.625" style="4" customWidth="1"/>
    <col min="13116" max="13119" width="15.75" style="4" customWidth="1"/>
    <col min="13120" max="13130" width="14.625" style="4" customWidth="1"/>
    <col min="13131" max="13367" width="14.625" style="4"/>
    <col min="13368" max="13368" width="8.375" style="4" customWidth="1"/>
    <col min="13369" max="13369" width="49.375" style="4" customWidth="1"/>
    <col min="13370" max="13371" width="17.625" style="4" customWidth="1"/>
    <col min="13372" max="13375" width="15.75" style="4" customWidth="1"/>
    <col min="13376" max="13386" width="14.625" style="4" customWidth="1"/>
    <col min="13387" max="13623" width="14.625" style="4"/>
    <col min="13624" max="13624" width="8.375" style="4" customWidth="1"/>
    <col min="13625" max="13625" width="49.375" style="4" customWidth="1"/>
    <col min="13626" max="13627" width="17.625" style="4" customWidth="1"/>
    <col min="13628" max="13631" width="15.75" style="4" customWidth="1"/>
    <col min="13632" max="13642" width="14.625" style="4" customWidth="1"/>
    <col min="13643" max="13879" width="14.625" style="4"/>
    <col min="13880" max="13880" width="8.375" style="4" customWidth="1"/>
    <col min="13881" max="13881" width="49.375" style="4" customWidth="1"/>
    <col min="13882" max="13883" width="17.625" style="4" customWidth="1"/>
    <col min="13884" max="13887" width="15.75" style="4" customWidth="1"/>
    <col min="13888" max="13898" width="14.625" style="4" customWidth="1"/>
    <col min="13899" max="14135" width="14.625" style="4"/>
    <col min="14136" max="14136" width="8.375" style="4" customWidth="1"/>
    <col min="14137" max="14137" width="49.375" style="4" customWidth="1"/>
    <col min="14138" max="14139" width="17.625" style="4" customWidth="1"/>
    <col min="14140" max="14143" width="15.75" style="4" customWidth="1"/>
    <col min="14144" max="14154" width="14.625" style="4" customWidth="1"/>
    <col min="14155" max="14391" width="14.625" style="4"/>
    <col min="14392" max="14392" width="8.375" style="4" customWidth="1"/>
    <col min="14393" max="14393" width="49.375" style="4" customWidth="1"/>
    <col min="14394" max="14395" width="17.625" style="4" customWidth="1"/>
    <col min="14396" max="14399" width="15.75" style="4" customWidth="1"/>
    <col min="14400" max="14410" width="14.625" style="4" customWidth="1"/>
    <col min="14411" max="14647" width="14.625" style="4"/>
    <col min="14648" max="14648" width="8.375" style="4" customWidth="1"/>
    <col min="14649" max="14649" width="49.375" style="4" customWidth="1"/>
    <col min="14650" max="14651" width="17.625" style="4" customWidth="1"/>
    <col min="14652" max="14655" width="15.75" style="4" customWidth="1"/>
    <col min="14656" max="14666" width="14.625" style="4" customWidth="1"/>
    <col min="14667" max="14903" width="14.625" style="4"/>
    <col min="14904" max="14904" width="8.375" style="4" customWidth="1"/>
    <col min="14905" max="14905" width="49.375" style="4" customWidth="1"/>
    <col min="14906" max="14907" width="17.625" style="4" customWidth="1"/>
    <col min="14908" max="14911" width="15.75" style="4" customWidth="1"/>
    <col min="14912" max="14922" width="14.625" style="4" customWidth="1"/>
    <col min="14923" max="15159" width="14.625" style="4"/>
    <col min="15160" max="15160" width="8.375" style="4" customWidth="1"/>
    <col min="15161" max="15161" width="49.375" style="4" customWidth="1"/>
    <col min="15162" max="15163" width="17.625" style="4" customWidth="1"/>
    <col min="15164" max="15167" width="15.75" style="4" customWidth="1"/>
    <col min="15168" max="15178" width="14.625" style="4" customWidth="1"/>
    <col min="15179" max="15415" width="14.625" style="4"/>
    <col min="15416" max="15416" width="8.375" style="4" customWidth="1"/>
    <col min="15417" max="15417" width="49.375" style="4" customWidth="1"/>
    <col min="15418" max="15419" width="17.625" style="4" customWidth="1"/>
    <col min="15420" max="15423" width="15.75" style="4" customWidth="1"/>
    <col min="15424" max="15434" width="14.625" style="4" customWidth="1"/>
    <col min="15435" max="15671" width="14.625" style="4"/>
    <col min="15672" max="15672" width="8.375" style="4" customWidth="1"/>
    <col min="15673" max="15673" width="49.375" style="4" customWidth="1"/>
    <col min="15674" max="15675" width="17.625" style="4" customWidth="1"/>
    <col min="15676" max="15679" width="15.75" style="4" customWidth="1"/>
    <col min="15680" max="15690" width="14.625" style="4" customWidth="1"/>
    <col min="15691" max="15927" width="14.625" style="4"/>
    <col min="15928" max="15928" width="8.375" style="4" customWidth="1"/>
    <col min="15929" max="15929" width="49.375" style="4" customWidth="1"/>
    <col min="15930" max="15931" width="17.625" style="4" customWidth="1"/>
    <col min="15932" max="15935" width="15.75" style="4" customWidth="1"/>
    <col min="15936" max="15946" width="14.625" style="4" customWidth="1"/>
    <col min="15947" max="16183" width="14.625" style="4"/>
    <col min="16184" max="16184" width="8.375" style="4" customWidth="1"/>
    <col min="16185" max="16185" width="49.375" style="4" customWidth="1"/>
    <col min="16186" max="16187" width="17.625" style="4" customWidth="1"/>
    <col min="16188" max="16191" width="15.75" style="4" customWidth="1"/>
    <col min="16192" max="16202" width="14.625" style="4" customWidth="1"/>
    <col min="16203" max="16384" width="14.625" style="4"/>
  </cols>
  <sheetData>
    <row r="1" spans="1:127" ht="24" thickBot="1">
      <c r="A1" s="1711" t="s">
        <v>1719</v>
      </c>
      <c r="B1" s="1711"/>
      <c r="C1" s="1711"/>
      <c r="D1" s="1711"/>
      <c r="E1" s="1711"/>
      <c r="F1" s="1711"/>
      <c r="G1" s="1711"/>
      <c r="H1" s="1711"/>
      <c r="J1" s="1711" t="s">
        <v>1719</v>
      </c>
      <c r="K1" s="1711"/>
      <c r="L1" s="1711"/>
      <c r="M1" s="1711"/>
      <c r="N1" s="1711"/>
      <c r="O1" s="1711"/>
      <c r="P1" s="1711"/>
      <c r="Q1" s="1711"/>
      <c r="R1" s="1711"/>
      <c r="S1" s="1711"/>
      <c r="T1" s="1711"/>
      <c r="U1" s="1711"/>
      <c r="V1" s="1711"/>
      <c r="W1" s="1711"/>
      <c r="X1" s="1711"/>
      <c r="Y1" s="1711"/>
      <c r="Z1" s="1711"/>
      <c r="AA1" s="1711"/>
      <c r="AB1" s="1711"/>
      <c r="AC1" s="1711"/>
      <c r="AD1" s="1711"/>
      <c r="AE1" s="1711"/>
      <c r="AF1" s="1711"/>
      <c r="AG1" s="1711"/>
      <c r="AH1" s="1711"/>
      <c r="AI1" s="1711"/>
      <c r="AJ1" s="1711"/>
      <c r="AK1" s="1711"/>
      <c r="AL1" s="1711"/>
      <c r="AM1" s="1711"/>
      <c r="AN1" s="1711"/>
      <c r="AO1" s="1711"/>
      <c r="AP1" s="1711"/>
      <c r="AQ1" s="1711"/>
      <c r="AR1" s="1711"/>
      <c r="AS1" s="1711"/>
      <c r="AT1" s="1711"/>
      <c r="AU1" s="1711"/>
      <c r="AV1" s="1711"/>
      <c r="AW1" s="1711"/>
      <c r="AX1" s="1711"/>
      <c r="AY1" s="1711"/>
      <c r="AZ1" s="1711"/>
      <c r="BA1" s="1711"/>
      <c r="BB1" s="1711"/>
      <c r="BC1" s="1711"/>
      <c r="BD1" s="1711"/>
      <c r="BE1" s="1711"/>
      <c r="BF1" s="1711"/>
      <c r="BG1" s="1711"/>
      <c r="BH1" s="1711"/>
      <c r="BI1" s="1711"/>
      <c r="BJ1" s="1711"/>
      <c r="BK1" s="1711"/>
      <c r="BL1" s="1711"/>
      <c r="BM1" s="1711"/>
      <c r="BN1" s="1711"/>
      <c r="BO1" s="1711"/>
      <c r="BP1" s="1711"/>
      <c r="BQ1" s="1711"/>
      <c r="BR1" s="1711"/>
      <c r="BS1" s="1711"/>
      <c r="BT1" s="1711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</row>
    <row r="2" spans="1:127" ht="22.5" thickBot="1">
      <c r="A2" s="54">
        <f>IF(G3=BT2,BP2,IF(G3=BY2,BU2,0))</f>
        <v>0</v>
      </c>
      <c r="B2" s="2"/>
      <c r="C2" s="3"/>
      <c r="D2" s="3"/>
      <c r="E2" s="3"/>
      <c r="F2" s="3"/>
      <c r="G2" s="3"/>
      <c r="H2" s="59" t="s">
        <v>1718</v>
      </c>
      <c r="J2" s="54"/>
      <c r="K2" s="2"/>
      <c r="L2" s="3"/>
      <c r="M2" s="1357" t="s">
        <v>1957</v>
      </c>
      <c r="N2" s="1358"/>
      <c r="O2" s="1358"/>
      <c r="P2" s="1358"/>
      <c r="Q2" s="1359">
        <v>18.5</v>
      </c>
      <c r="R2" s="1378" t="s">
        <v>1958</v>
      </c>
      <c r="S2" s="1379"/>
      <c r="T2" s="1379"/>
      <c r="U2" s="1379"/>
      <c r="V2" s="1380">
        <v>19.5</v>
      </c>
      <c r="W2" s="548" t="s">
        <v>1810</v>
      </c>
      <c r="X2" s="549"/>
      <c r="Y2" s="549"/>
      <c r="Z2" s="549"/>
      <c r="AA2" s="550">
        <v>20.5</v>
      </c>
      <c r="AB2" s="548" t="s">
        <v>1809</v>
      </c>
      <c r="AC2" s="549"/>
      <c r="AD2" s="549"/>
      <c r="AE2" s="549"/>
      <c r="AF2" s="550">
        <v>21.5</v>
      </c>
      <c r="AG2" s="548" t="s">
        <v>1808</v>
      </c>
      <c r="AH2" s="549"/>
      <c r="AI2" s="549"/>
      <c r="AJ2" s="549"/>
      <c r="AK2" s="550">
        <v>22.5</v>
      </c>
      <c r="AL2" s="548" t="s">
        <v>1807</v>
      </c>
      <c r="AM2" s="549"/>
      <c r="AN2" s="549"/>
      <c r="AO2" s="549"/>
      <c r="AP2" s="550">
        <v>23.5</v>
      </c>
      <c r="AQ2" s="548" t="s">
        <v>1806</v>
      </c>
      <c r="AR2" s="549"/>
      <c r="AS2" s="549"/>
      <c r="AT2" s="549"/>
      <c r="AU2" s="550">
        <v>24.5</v>
      </c>
      <c r="AV2" s="548" t="s">
        <v>1780</v>
      </c>
      <c r="AW2" s="549"/>
      <c r="AX2" s="549"/>
      <c r="AY2" s="549"/>
      <c r="AZ2" s="550">
        <v>25.5</v>
      </c>
      <c r="BA2" s="548" t="s">
        <v>1781</v>
      </c>
      <c r="BB2" s="549"/>
      <c r="BC2" s="549"/>
      <c r="BD2" s="549"/>
      <c r="BE2" s="550">
        <v>26.5</v>
      </c>
      <c r="BF2" s="548" t="s">
        <v>1782</v>
      </c>
      <c r="BG2" s="549"/>
      <c r="BH2" s="549"/>
      <c r="BI2" s="549"/>
      <c r="BJ2" s="550">
        <v>27.5</v>
      </c>
      <c r="BK2" s="548" t="s">
        <v>1783</v>
      </c>
      <c r="BL2" s="549"/>
      <c r="BM2" s="549"/>
      <c r="BN2" s="549"/>
      <c r="BO2" s="550">
        <v>28.5</v>
      </c>
      <c r="BP2" s="548" t="s">
        <v>1722</v>
      </c>
      <c r="BQ2" s="549"/>
      <c r="BR2" s="549"/>
      <c r="BS2" s="549"/>
      <c r="BT2" s="550">
        <v>29.5</v>
      </c>
      <c r="BU2" s="548" t="s">
        <v>1721</v>
      </c>
      <c r="BV2" s="549"/>
      <c r="BW2" s="549"/>
      <c r="BX2" s="549"/>
      <c r="BY2" s="550">
        <v>30.5</v>
      </c>
      <c r="BZ2" s="548" t="s">
        <v>1784</v>
      </c>
      <c r="CA2" s="549"/>
      <c r="CB2" s="549"/>
      <c r="CC2" s="549"/>
      <c r="CD2" s="550">
        <v>31.5</v>
      </c>
      <c r="CE2" s="548" t="s">
        <v>1785</v>
      </c>
      <c r="CF2" s="549"/>
      <c r="CG2" s="549"/>
      <c r="CH2" s="549"/>
      <c r="CI2" s="550">
        <v>32.5</v>
      </c>
      <c r="CJ2" s="66" t="s">
        <v>1785</v>
      </c>
      <c r="CK2" s="67"/>
      <c r="CL2" s="67"/>
      <c r="CM2" s="67"/>
      <c r="CN2" s="72">
        <v>33.5</v>
      </c>
      <c r="CO2" s="66" t="s">
        <v>1785</v>
      </c>
      <c r="CP2" s="67"/>
      <c r="CQ2" s="67"/>
      <c r="CR2" s="67"/>
      <c r="CS2" s="72">
        <v>34.5</v>
      </c>
      <c r="CT2" s="66" t="s">
        <v>1785</v>
      </c>
      <c r="CU2" s="67"/>
      <c r="CV2" s="67"/>
      <c r="CW2" s="67"/>
      <c r="CX2" s="72">
        <v>35.5</v>
      </c>
      <c r="CY2" s="66" t="s">
        <v>1785</v>
      </c>
      <c r="CZ2" s="67"/>
      <c r="DA2" s="67"/>
      <c r="DB2" s="67"/>
      <c r="DC2" s="72">
        <v>36.5</v>
      </c>
      <c r="DD2" s="66" t="s">
        <v>1785</v>
      </c>
      <c r="DE2" s="67"/>
      <c r="DF2" s="67"/>
      <c r="DG2" s="67"/>
      <c r="DH2" s="72">
        <v>37.5</v>
      </c>
      <c r="DI2" s="66" t="s">
        <v>1785</v>
      </c>
      <c r="DJ2" s="67"/>
      <c r="DK2" s="67"/>
      <c r="DL2" s="67"/>
      <c r="DM2" s="72">
        <v>38.5</v>
      </c>
      <c r="DN2" s="66" t="s">
        <v>1785</v>
      </c>
      <c r="DO2" s="67"/>
      <c r="DP2" s="67"/>
      <c r="DQ2" s="67"/>
      <c r="DR2" s="72">
        <v>39.5</v>
      </c>
      <c r="DS2" s="66" t="s">
        <v>1785</v>
      </c>
      <c r="DT2" s="67"/>
      <c r="DU2" s="67"/>
      <c r="DV2" s="67"/>
      <c r="DW2" s="72">
        <v>40.5</v>
      </c>
    </row>
    <row r="3" spans="1:127" ht="21.75">
      <c r="A3" s="1"/>
      <c r="B3" s="2"/>
      <c r="C3" s="3"/>
      <c r="D3" s="3"/>
      <c r="E3" s="3"/>
      <c r="F3" s="59" t="s">
        <v>1720</v>
      </c>
      <c r="G3" s="75">
        <f>เปรียบเทียบราคาวัสดุ!C3</f>
        <v>22.5</v>
      </c>
      <c r="H3" s="3" t="s">
        <v>478</v>
      </c>
      <c r="J3" s="1"/>
      <c r="K3" s="2"/>
      <c r="L3" s="3"/>
      <c r="M3" s="1360"/>
      <c r="N3" s="1361"/>
      <c r="O3" s="1361"/>
      <c r="P3" s="1361"/>
      <c r="Q3" s="1362"/>
      <c r="R3" s="1381"/>
      <c r="S3" s="1382"/>
      <c r="T3" s="1382"/>
      <c r="U3" s="1382"/>
      <c r="V3" s="1383"/>
      <c r="W3" s="551"/>
      <c r="X3" s="552"/>
      <c r="Y3" s="552"/>
      <c r="Z3" s="552"/>
      <c r="AA3" s="553"/>
      <c r="AB3" s="551"/>
      <c r="AC3" s="552"/>
      <c r="AD3" s="552"/>
      <c r="AE3" s="552"/>
      <c r="AF3" s="553"/>
      <c r="AG3" s="551"/>
      <c r="AH3" s="552"/>
      <c r="AI3" s="552"/>
      <c r="AJ3" s="552"/>
      <c r="AK3" s="553"/>
      <c r="AL3" s="551"/>
      <c r="AM3" s="552"/>
      <c r="AN3" s="552"/>
      <c r="AO3" s="552"/>
      <c r="AP3" s="553"/>
      <c r="AQ3" s="551"/>
      <c r="AR3" s="552"/>
      <c r="AS3" s="552"/>
      <c r="AT3" s="552"/>
      <c r="AU3" s="553"/>
      <c r="AV3" s="551"/>
      <c r="AW3" s="552"/>
      <c r="AX3" s="552"/>
      <c r="AY3" s="552"/>
      <c r="AZ3" s="553"/>
      <c r="BA3" s="551"/>
      <c r="BB3" s="552"/>
      <c r="BC3" s="552"/>
      <c r="BD3" s="552"/>
      <c r="BE3" s="553"/>
      <c r="BF3" s="551"/>
      <c r="BG3" s="552"/>
      <c r="BH3" s="552"/>
      <c r="BI3" s="552"/>
      <c r="BJ3" s="553"/>
      <c r="BK3" s="551"/>
      <c r="BL3" s="552"/>
      <c r="BM3" s="552"/>
      <c r="BN3" s="552"/>
      <c r="BO3" s="553"/>
      <c r="BP3" s="551"/>
      <c r="BQ3" s="552"/>
      <c r="BR3" s="552"/>
      <c r="BS3" s="552"/>
      <c r="BT3" s="553"/>
      <c r="BU3" s="551"/>
      <c r="BV3" s="552"/>
      <c r="BW3" s="552"/>
      <c r="BX3" s="552"/>
      <c r="BY3" s="553"/>
      <c r="BZ3" s="551"/>
      <c r="CA3" s="552"/>
      <c r="CB3" s="552"/>
      <c r="CC3" s="552"/>
      <c r="CD3" s="553"/>
      <c r="CE3" s="551"/>
      <c r="CF3" s="552"/>
      <c r="CG3" s="552"/>
      <c r="CH3" s="552"/>
      <c r="CI3" s="553"/>
      <c r="CJ3" s="68"/>
      <c r="CK3" s="60"/>
      <c r="CL3" s="60"/>
      <c r="CM3" s="60"/>
      <c r="CN3" s="69"/>
      <c r="CO3" s="68"/>
      <c r="CP3" s="60"/>
      <c r="CQ3" s="60"/>
      <c r="CR3" s="60"/>
      <c r="CS3" s="69"/>
      <c r="CT3" s="68"/>
      <c r="CU3" s="60"/>
      <c r="CV3" s="60"/>
      <c r="CW3" s="60"/>
      <c r="CX3" s="69"/>
      <c r="CY3" s="68"/>
      <c r="CZ3" s="60"/>
      <c r="DA3" s="60"/>
      <c r="DB3" s="60"/>
      <c r="DC3" s="69"/>
      <c r="DD3" s="68"/>
      <c r="DE3" s="60"/>
      <c r="DF3" s="60"/>
      <c r="DG3" s="60"/>
      <c r="DH3" s="69"/>
      <c r="DI3" s="68"/>
      <c r="DJ3" s="60"/>
      <c r="DK3" s="60"/>
      <c r="DL3" s="60"/>
      <c r="DM3" s="69"/>
      <c r="DN3" s="68"/>
      <c r="DO3" s="60"/>
      <c r="DP3" s="60"/>
      <c r="DQ3" s="60"/>
      <c r="DR3" s="69"/>
      <c r="DS3" s="68"/>
      <c r="DT3" s="60"/>
      <c r="DU3" s="60"/>
      <c r="DV3" s="60"/>
      <c r="DW3" s="69"/>
    </row>
    <row r="4" spans="1:127" ht="21" customHeight="1">
      <c r="A4" s="1712" t="s">
        <v>48</v>
      </c>
      <c r="B4" s="1713" t="s">
        <v>49</v>
      </c>
      <c r="C4" s="1713" t="s">
        <v>50</v>
      </c>
      <c r="D4" s="1716" t="s">
        <v>51</v>
      </c>
      <c r="E4" s="1715" t="s">
        <v>52</v>
      </c>
      <c r="F4" s="1715"/>
      <c r="G4" s="1715" t="s">
        <v>53</v>
      </c>
      <c r="H4" s="1715"/>
      <c r="J4" s="1712" t="s">
        <v>48</v>
      </c>
      <c r="K4" s="1713" t="s">
        <v>49</v>
      </c>
      <c r="L4" s="1714" t="s">
        <v>50</v>
      </c>
      <c r="M4" s="1723" t="s">
        <v>51</v>
      </c>
      <c r="N4" s="1725" t="s">
        <v>52</v>
      </c>
      <c r="O4" s="1725"/>
      <c r="P4" s="1725" t="s">
        <v>53</v>
      </c>
      <c r="Q4" s="1726"/>
      <c r="R4" s="1727" t="s">
        <v>51</v>
      </c>
      <c r="S4" s="1721" t="s">
        <v>52</v>
      </c>
      <c r="T4" s="1721"/>
      <c r="U4" s="1721" t="s">
        <v>53</v>
      </c>
      <c r="V4" s="1722"/>
      <c r="W4" s="1709" t="s">
        <v>51</v>
      </c>
      <c r="X4" s="1707" t="s">
        <v>52</v>
      </c>
      <c r="Y4" s="1707"/>
      <c r="Z4" s="1707" t="s">
        <v>53</v>
      </c>
      <c r="AA4" s="1708"/>
      <c r="AB4" s="1709" t="s">
        <v>51</v>
      </c>
      <c r="AC4" s="1707" t="s">
        <v>52</v>
      </c>
      <c r="AD4" s="1707"/>
      <c r="AE4" s="1707" t="s">
        <v>53</v>
      </c>
      <c r="AF4" s="1708"/>
      <c r="AG4" s="1709" t="s">
        <v>51</v>
      </c>
      <c r="AH4" s="1707" t="s">
        <v>52</v>
      </c>
      <c r="AI4" s="1707"/>
      <c r="AJ4" s="1707" t="s">
        <v>53</v>
      </c>
      <c r="AK4" s="1708"/>
      <c r="AL4" s="1709" t="s">
        <v>51</v>
      </c>
      <c r="AM4" s="1707" t="s">
        <v>52</v>
      </c>
      <c r="AN4" s="1707"/>
      <c r="AO4" s="1707" t="s">
        <v>53</v>
      </c>
      <c r="AP4" s="1708"/>
      <c r="AQ4" s="1709" t="s">
        <v>51</v>
      </c>
      <c r="AR4" s="1707" t="s">
        <v>52</v>
      </c>
      <c r="AS4" s="1707"/>
      <c r="AT4" s="1707" t="s">
        <v>53</v>
      </c>
      <c r="AU4" s="1708"/>
      <c r="AV4" s="1709" t="s">
        <v>51</v>
      </c>
      <c r="AW4" s="1707" t="s">
        <v>52</v>
      </c>
      <c r="AX4" s="1707"/>
      <c r="AY4" s="1707" t="s">
        <v>53</v>
      </c>
      <c r="AZ4" s="1708"/>
      <c r="BA4" s="1709" t="s">
        <v>51</v>
      </c>
      <c r="BB4" s="1707" t="s">
        <v>52</v>
      </c>
      <c r="BC4" s="1707"/>
      <c r="BD4" s="1707" t="s">
        <v>53</v>
      </c>
      <c r="BE4" s="1708"/>
      <c r="BF4" s="1709" t="s">
        <v>51</v>
      </c>
      <c r="BG4" s="1707" t="s">
        <v>52</v>
      </c>
      <c r="BH4" s="1707"/>
      <c r="BI4" s="1707" t="s">
        <v>53</v>
      </c>
      <c r="BJ4" s="1708"/>
      <c r="BK4" s="1709" t="s">
        <v>51</v>
      </c>
      <c r="BL4" s="1707" t="s">
        <v>52</v>
      </c>
      <c r="BM4" s="1707"/>
      <c r="BN4" s="1707" t="s">
        <v>53</v>
      </c>
      <c r="BO4" s="1708"/>
      <c r="BP4" s="1709" t="s">
        <v>51</v>
      </c>
      <c r="BQ4" s="1707" t="s">
        <v>52</v>
      </c>
      <c r="BR4" s="1707"/>
      <c r="BS4" s="1707" t="s">
        <v>53</v>
      </c>
      <c r="BT4" s="1708"/>
      <c r="BU4" s="1709" t="s">
        <v>51</v>
      </c>
      <c r="BV4" s="1707" t="s">
        <v>52</v>
      </c>
      <c r="BW4" s="1707"/>
      <c r="BX4" s="1707" t="s">
        <v>53</v>
      </c>
      <c r="BY4" s="1708"/>
      <c r="BZ4" s="1709" t="s">
        <v>51</v>
      </c>
      <c r="CA4" s="1707" t="s">
        <v>52</v>
      </c>
      <c r="CB4" s="1707"/>
      <c r="CC4" s="1707" t="s">
        <v>53</v>
      </c>
      <c r="CD4" s="1708"/>
      <c r="CE4" s="1709" t="s">
        <v>51</v>
      </c>
      <c r="CF4" s="1707" t="s">
        <v>52</v>
      </c>
      <c r="CG4" s="1707"/>
      <c r="CH4" s="1707" t="s">
        <v>53</v>
      </c>
      <c r="CI4" s="1708"/>
      <c r="CJ4" s="1718" t="s">
        <v>51</v>
      </c>
      <c r="CK4" s="1715" t="s">
        <v>52</v>
      </c>
      <c r="CL4" s="1715"/>
      <c r="CM4" s="1715" t="s">
        <v>53</v>
      </c>
      <c r="CN4" s="1720"/>
      <c r="CO4" s="1718" t="s">
        <v>51</v>
      </c>
      <c r="CP4" s="1715" t="s">
        <v>52</v>
      </c>
      <c r="CQ4" s="1715"/>
      <c r="CR4" s="1715" t="s">
        <v>53</v>
      </c>
      <c r="CS4" s="1720"/>
      <c r="CT4" s="1718" t="s">
        <v>51</v>
      </c>
      <c r="CU4" s="1715" t="s">
        <v>52</v>
      </c>
      <c r="CV4" s="1715"/>
      <c r="CW4" s="1715" t="s">
        <v>53</v>
      </c>
      <c r="CX4" s="1720"/>
      <c r="CY4" s="1718" t="s">
        <v>51</v>
      </c>
      <c r="CZ4" s="1715" t="s">
        <v>52</v>
      </c>
      <c r="DA4" s="1715"/>
      <c r="DB4" s="1715" t="s">
        <v>53</v>
      </c>
      <c r="DC4" s="1720"/>
      <c r="DD4" s="1718" t="s">
        <v>51</v>
      </c>
      <c r="DE4" s="1715" t="s">
        <v>52</v>
      </c>
      <c r="DF4" s="1715"/>
      <c r="DG4" s="1715" t="s">
        <v>53</v>
      </c>
      <c r="DH4" s="1720"/>
      <c r="DI4" s="1718" t="s">
        <v>51</v>
      </c>
      <c r="DJ4" s="1715" t="s">
        <v>52</v>
      </c>
      <c r="DK4" s="1715"/>
      <c r="DL4" s="1715" t="s">
        <v>53</v>
      </c>
      <c r="DM4" s="1720"/>
      <c r="DN4" s="1718" t="s">
        <v>51</v>
      </c>
      <c r="DO4" s="1715" t="s">
        <v>52</v>
      </c>
      <c r="DP4" s="1715"/>
      <c r="DQ4" s="1715" t="s">
        <v>53</v>
      </c>
      <c r="DR4" s="1720"/>
      <c r="DS4" s="1718" t="s">
        <v>51</v>
      </c>
      <c r="DT4" s="1715" t="s">
        <v>52</v>
      </c>
      <c r="DU4" s="1715"/>
      <c r="DV4" s="1715" t="s">
        <v>53</v>
      </c>
      <c r="DW4" s="1720"/>
    </row>
    <row r="5" spans="1:127">
      <c r="A5" s="1712"/>
      <c r="B5" s="1713"/>
      <c r="C5" s="1713"/>
      <c r="D5" s="1717"/>
      <c r="E5" s="1715"/>
      <c r="F5" s="1715"/>
      <c r="G5" s="1715"/>
      <c r="H5" s="1715"/>
      <c r="J5" s="1712"/>
      <c r="K5" s="1713"/>
      <c r="L5" s="1714"/>
      <c r="M5" s="1724"/>
      <c r="N5" s="1725"/>
      <c r="O5" s="1725"/>
      <c r="P5" s="1725"/>
      <c r="Q5" s="1726"/>
      <c r="R5" s="1728"/>
      <c r="S5" s="1721"/>
      <c r="T5" s="1721"/>
      <c r="U5" s="1721"/>
      <c r="V5" s="1722"/>
      <c r="W5" s="1710"/>
      <c r="X5" s="1707"/>
      <c r="Y5" s="1707"/>
      <c r="Z5" s="1707"/>
      <c r="AA5" s="1708"/>
      <c r="AB5" s="1710"/>
      <c r="AC5" s="1707"/>
      <c r="AD5" s="1707"/>
      <c r="AE5" s="1707"/>
      <c r="AF5" s="1708"/>
      <c r="AG5" s="1710"/>
      <c r="AH5" s="1707"/>
      <c r="AI5" s="1707"/>
      <c r="AJ5" s="1707"/>
      <c r="AK5" s="1708"/>
      <c r="AL5" s="1710"/>
      <c r="AM5" s="1707"/>
      <c r="AN5" s="1707"/>
      <c r="AO5" s="1707"/>
      <c r="AP5" s="1708"/>
      <c r="AQ5" s="1710"/>
      <c r="AR5" s="1707"/>
      <c r="AS5" s="1707"/>
      <c r="AT5" s="1707"/>
      <c r="AU5" s="1708"/>
      <c r="AV5" s="1710"/>
      <c r="AW5" s="1707"/>
      <c r="AX5" s="1707"/>
      <c r="AY5" s="1707"/>
      <c r="AZ5" s="1708"/>
      <c r="BA5" s="1710"/>
      <c r="BB5" s="1707"/>
      <c r="BC5" s="1707"/>
      <c r="BD5" s="1707"/>
      <c r="BE5" s="1708"/>
      <c r="BF5" s="1710"/>
      <c r="BG5" s="1707"/>
      <c r="BH5" s="1707"/>
      <c r="BI5" s="1707"/>
      <c r="BJ5" s="1708"/>
      <c r="BK5" s="1710"/>
      <c r="BL5" s="1707"/>
      <c r="BM5" s="1707"/>
      <c r="BN5" s="1707"/>
      <c r="BO5" s="1708"/>
      <c r="BP5" s="1710"/>
      <c r="BQ5" s="1707"/>
      <c r="BR5" s="1707"/>
      <c r="BS5" s="1707"/>
      <c r="BT5" s="1708"/>
      <c r="BU5" s="1710"/>
      <c r="BV5" s="1707"/>
      <c r="BW5" s="1707"/>
      <c r="BX5" s="1707"/>
      <c r="BY5" s="1708"/>
      <c r="BZ5" s="1710"/>
      <c r="CA5" s="1707"/>
      <c r="CB5" s="1707"/>
      <c r="CC5" s="1707"/>
      <c r="CD5" s="1708"/>
      <c r="CE5" s="1710"/>
      <c r="CF5" s="1707"/>
      <c r="CG5" s="1707"/>
      <c r="CH5" s="1707"/>
      <c r="CI5" s="1708"/>
      <c r="CJ5" s="1719"/>
      <c r="CK5" s="1715"/>
      <c r="CL5" s="1715"/>
      <c r="CM5" s="1715"/>
      <c r="CN5" s="1720"/>
      <c r="CO5" s="1719"/>
      <c r="CP5" s="1715"/>
      <c r="CQ5" s="1715"/>
      <c r="CR5" s="1715"/>
      <c r="CS5" s="1720"/>
      <c r="CT5" s="1719"/>
      <c r="CU5" s="1715"/>
      <c r="CV5" s="1715"/>
      <c r="CW5" s="1715"/>
      <c r="CX5" s="1720"/>
      <c r="CY5" s="1719"/>
      <c r="CZ5" s="1715"/>
      <c r="DA5" s="1715"/>
      <c r="DB5" s="1715"/>
      <c r="DC5" s="1720"/>
      <c r="DD5" s="1719"/>
      <c r="DE5" s="1715"/>
      <c r="DF5" s="1715"/>
      <c r="DG5" s="1715"/>
      <c r="DH5" s="1720"/>
      <c r="DI5" s="1719"/>
      <c r="DJ5" s="1715"/>
      <c r="DK5" s="1715"/>
      <c r="DL5" s="1715"/>
      <c r="DM5" s="1720"/>
      <c r="DN5" s="1719"/>
      <c r="DO5" s="1715"/>
      <c r="DP5" s="1715"/>
      <c r="DQ5" s="1715"/>
      <c r="DR5" s="1720"/>
      <c r="DS5" s="1719"/>
      <c r="DT5" s="1715"/>
      <c r="DU5" s="1715"/>
      <c r="DV5" s="1715"/>
      <c r="DW5" s="1720"/>
    </row>
    <row r="6" spans="1:127" ht="21" customHeight="1">
      <c r="A6" s="1712"/>
      <c r="B6" s="1713"/>
      <c r="C6" s="1713"/>
      <c r="D6" s="1717"/>
      <c r="E6" s="5" t="s">
        <v>54</v>
      </c>
      <c r="F6" s="5" t="s">
        <v>55</v>
      </c>
      <c r="G6" s="5" t="s">
        <v>54</v>
      </c>
      <c r="H6" s="5" t="s">
        <v>55</v>
      </c>
      <c r="J6" s="1712"/>
      <c r="K6" s="1713"/>
      <c r="L6" s="1714"/>
      <c r="M6" s="1724"/>
      <c r="N6" s="1363" t="s">
        <v>54</v>
      </c>
      <c r="O6" s="1363" t="s">
        <v>55</v>
      </c>
      <c r="P6" s="1363" t="s">
        <v>54</v>
      </c>
      <c r="Q6" s="1364" t="s">
        <v>55</v>
      </c>
      <c r="R6" s="1728"/>
      <c r="S6" s="1384" t="s">
        <v>54</v>
      </c>
      <c r="T6" s="1384" t="s">
        <v>55</v>
      </c>
      <c r="U6" s="1384" t="s">
        <v>54</v>
      </c>
      <c r="V6" s="1385" t="s">
        <v>55</v>
      </c>
      <c r="W6" s="1710"/>
      <c r="X6" s="554" t="s">
        <v>54</v>
      </c>
      <c r="Y6" s="554" t="s">
        <v>55</v>
      </c>
      <c r="Z6" s="554" t="s">
        <v>54</v>
      </c>
      <c r="AA6" s="555" t="s">
        <v>55</v>
      </c>
      <c r="AB6" s="1710"/>
      <c r="AC6" s="554" t="s">
        <v>54</v>
      </c>
      <c r="AD6" s="554" t="s">
        <v>55</v>
      </c>
      <c r="AE6" s="554" t="s">
        <v>54</v>
      </c>
      <c r="AF6" s="555" t="s">
        <v>55</v>
      </c>
      <c r="AG6" s="1710"/>
      <c r="AH6" s="554" t="s">
        <v>54</v>
      </c>
      <c r="AI6" s="554" t="s">
        <v>55</v>
      </c>
      <c r="AJ6" s="554" t="s">
        <v>54</v>
      </c>
      <c r="AK6" s="555" t="s">
        <v>55</v>
      </c>
      <c r="AL6" s="1710"/>
      <c r="AM6" s="554" t="s">
        <v>54</v>
      </c>
      <c r="AN6" s="554" t="s">
        <v>55</v>
      </c>
      <c r="AO6" s="554" t="s">
        <v>54</v>
      </c>
      <c r="AP6" s="555" t="s">
        <v>55</v>
      </c>
      <c r="AQ6" s="1710"/>
      <c r="AR6" s="554" t="s">
        <v>54</v>
      </c>
      <c r="AS6" s="554" t="s">
        <v>55</v>
      </c>
      <c r="AT6" s="554" t="s">
        <v>54</v>
      </c>
      <c r="AU6" s="555" t="s">
        <v>55</v>
      </c>
      <c r="AV6" s="1710"/>
      <c r="AW6" s="554" t="s">
        <v>54</v>
      </c>
      <c r="AX6" s="554" t="s">
        <v>55</v>
      </c>
      <c r="AY6" s="554" t="s">
        <v>54</v>
      </c>
      <c r="AZ6" s="555" t="s">
        <v>55</v>
      </c>
      <c r="BA6" s="1710"/>
      <c r="BB6" s="554" t="s">
        <v>54</v>
      </c>
      <c r="BC6" s="554" t="s">
        <v>55</v>
      </c>
      <c r="BD6" s="554" t="s">
        <v>54</v>
      </c>
      <c r="BE6" s="555" t="s">
        <v>55</v>
      </c>
      <c r="BF6" s="1710"/>
      <c r="BG6" s="554" t="s">
        <v>54</v>
      </c>
      <c r="BH6" s="554" t="s">
        <v>55</v>
      </c>
      <c r="BI6" s="554" t="s">
        <v>54</v>
      </c>
      <c r="BJ6" s="555" t="s">
        <v>55</v>
      </c>
      <c r="BK6" s="1710"/>
      <c r="BL6" s="554" t="s">
        <v>54</v>
      </c>
      <c r="BM6" s="554" t="s">
        <v>55</v>
      </c>
      <c r="BN6" s="554" t="s">
        <v>54</v>
      </c>
      <c r="BO6" s="555" t="s">
        <v>55</v>
      </c>
      <c r="BP6" s="1710"/>
      <c r="BQ6" s="554" t="s">
        <v>54</v>
      </c>
      <c r="BR6" s="554" t="s">
        <v>55</v>
      </c>
      <c r="BS6" s="554" t="s">
        <v>54</v>
      </c>
      <c r="BT6" s="555" t="s">
        <v>55</v>
      </c>
      <c r="BU6" s="1710"/>
      <c r="BV6" s="554" t="s">
        <v>54</v>
      </c>
      <c r="BW6" s="554" t="s">
        <v>55</v>
      </c>
      <c r="BX6" s="554" t="s">
        <v>54</v>
      </c>
      <c r="BY6" s="555" t="s">
        <v>55</v>
      </c>
      <c r="BZ6" s="1710"/>
      <c r="CA6" s="554" t="s">
        <v>54</v>
      </c>
      <c r="CB6" s="554" t="s">
        <v>55</v>
      </c>
      <c r="CC6" s="554" t="s">
        <v>54</v>
      </c>
      <c r="CD6" s="555" t="s">
        <v>55</v>
      </c>
      <c r="CE6" s="1710"/>
      <c r="CF6" s="554" t="s">
        <v>54</v>
      </c>
      <c r="CG6" s="554" t="s">
        <v>55</v>
      </c>
      <c r="CH6" s="554" t="s">
        <v>54</v>
      </c>
      <c r="CI6" s="555" t="s">
        <v>55</v>
      </c>
      <c r="CJ6" s="1719"/>
      <c r="CK6" s="73" t="s">
        <v>54</v>
      </c>
      <c r="CL6" s="73" t="s">
        <v>55</v>
      </c>
      <c r="CM6" s="73" t="s">
        <v>54</v>
      </c>
      <c r="CN6" s="74" t="s">
        <v>55</v>
      </c>
      <c r="CO6" s="1719"/>
      <c r="CP6" s="73" t="s">
        <v>54</v>
      </c>
      <c r="CQ6" s="73" t="s">
        <v>55</v>
      </c>
      <c r="CR6" s="73" t="s">
        <v>54</v>
      </c>
      <c r="CS6" s="74" t="s">
        <v>55</v>
      </c>
      <c r="CT6" s="1719"/>
      <c r="CU6" s="73" t="s">
        <v>54</v>
      </c>
      <c r="CV6" s="73" t="s">
        <v>55</v>
      </c>
      <c r="CW6" s="73" t="s">
        <v>54</v>
      </c>
      <c r="CX6" s="74" t="s">
        <v>55</v>
      </c>
      <c r="CY6" s="1719"/>
      <c r="CZ6" s="73" t="s">
        <v>54</v>
      </c>
      <c r="DA6" s="73" t="s">
        <v>55</v>
      </c>
      <c r="DB6" s="73" t="s">
        <v>54</v>
      </c>
      <c r="DC6" s="74" t="s">
        <v>55</v>
      </c>
      <c r="DD6" s="1719"/>
      <c r="DE6" s="73" t="s">
        <v>54</v>
      </c>
      <c r="DF6" s="73" t="s">
        <v>55</v>
      </c>
      <c r="DG6" s="73" t="s">
        <v>54</v>
      </c>
      <c r="DH6" s="74" t="s">
        <v>55</v>
      </c>
      <c r="DI6" s="1719"/>
      <c r="DJ6" s="73" t="s">
        <v>54</v>
      </c>
      <c r="DK6" s="73" t="s">
        <v>55</v>
      </c>
      <c r="DL6" s="73" t="s">
        <v>54</v>
      </c>
      <c r="DM6" s="74" t="s">
        <v>55</v>
      </c>
      <c r="DN6" s="1719"/>
      <c r="DO6" s="73" t="s">
        <v>54</v>
      </c>
      <c r="DP6" s="73" t="s">
        <v>55</v>
      </c>
      <c r="DQ6" s="73" t="s">
        <v>54</v>
      </c>
      <c r="DR6" s="74" t="s">
        <v>55</v>
      </c>
      <c r="DS6" s="1719"/>
      <c r="DT6" s="73" t="s">
        <v>54</v>
      </c>
      <c r="DU6" s="73" t="s">
        <v>55</v>
      </c>
      <c r="DV6" s="73" t="s">
        <v>54</v>
      </c>
      <c r="DW6" s="74" t="s">
        <v>55</v>
      </c>
    </row>
    <row r="7" spans="1:127" ht="21.75">
      <c r="A7" s="6">
        <v>1</v>
      </c>
      <c r="B7" s="7" t="s">
        <v>56</v>
      </c>
      <c r="C7" s="55"/>
      <c r="D7" s="8"/>
      <c r="E7" s="8"/>
      <c r="F7" s="8"/>
      <c r="G7" s="8"/>
      <c r="H7" s="8"/>
      <c r="J7" s="6">
        <v>1</v>
      </c>
      <c r="K7" s="7" t="s">
        <v>56</v>
      </c>
      <c r="L7" s="61"/>
      <c r="M7" s="1365"/>
      <c r="N7" s="1366"/>
      <c r="O7" s="1366"/>
      <c r="P7" s="1366"/>
      <c r="Q7" s="1367"/>
      <c r="R7" s="1386"/>
      <c r="S7" s="1387"/>
      <c r="T7" s="1387"/>
      <c r="U7" s="1387"/>
      <c r="V7" s="1388"/>
      <c r="W7" s="556"/>
      <c r="X7" s="557"/>
      <c r="Y7" s="557"/>
      <c r="Z7" s="557"/>
      <c r="AA7" s="558"/>
      <c r="AB7" s="556"/>
      <c r="AC7" s="557"/>
      <c r="AD7" s="557"/>
      <c r="AE7" s="557"/>
      <c r="AF7" s="558"/>
      <c r="AG7" s="556"/>
      <c r="AH7" s="557"/>
      <c r="AI7" s="557"/>
      <c r="AJ7" s="557"/>
      <c r="AK7" s="558"/>
      <c r="AL7" s="556"/>
      <c r="AM7" s="557"/>
      <c r="AN7" s="557"/>
      <c r="AO7" s="557"/>
      <c r="AP7" s="558"/>
      <c r="AQ7" s="556"/>
      <c r="AR7" s="557"/>
      <c r="AS7" s="557"/>
      <c r="AT7" s="557"/>
      <c r="AU7" s="558"/>
      <c r="AV7" s="556"/>
      <c r="AW7" s="557"/>
      <c r="AX7" s="557"/>
      <c r="AY7" s="557"/>
      <c r="AZ7" s="558"/>
      <c r="BA7" s="556"/>
      <c r="BB7" s="557"/>
      <c r="BC7" s="557"/>
      <c r="BD7" s="557"/>
      <c r="BE7" s="558"/>
      <c r="BF7" s="556"/>
      <c r="BG7" s="557"/>
      <c r="BH7" s="557"/>
      <c r="BI7" s="557"/>
      <c r="BJ7" s="558"/>
      <c r="BK7" s="556"/>
      <c r="BL7" s="557"/>
      <c r="BM7" s="557"/>
      <c r="BN7" s="557"/>
      <c r="BO7" s="558"/>
      <c r="BP7" s="556"/>
      <c r="BQ7" s="557"/>
      <c r="BR7" s="557"/>
      <c r="BS7" s="557"/>
      <c r="BT7" s="558"/>
      <c r="BU7" s="556"/>
      <c r="BV7" s="557"/>
      <c r="BW7" s="557"/>
      <c r="BX7" s="557"/>
      <c r="BY7" s="558"/>
      <c r="BZ7" s="556"/>
      <c r="CA7" s="557"/>
      <c r="CB7" s="557"/>
      <c r="CC7" s="557"/>
      <c r="CD7" s="558"/>
      <c r="CE7" s="556"/>
      <c r="CF7" s="557"/>
      <c r="CG7" s="557"/>
      <c r="CH7" s="557"/>
      <c r="CI7" s="558"/>
      <c r="CJ7" s="70"/>
      <c r="CK7" s="65"/>
      <c r="CL7" s="65"/>
      <c r="CM7" s="65"/>
      <c r="CN7" s="71"/>
      <c r="CO7" s="70"/>
      <c r="CP7" s="65"/>
      <c r="CQ7" s="65"/>
      <c r="CR7" s="65"/>
      <c r="CS7" s="71"/>
      <c r="CT7" s="70"/>
      <c r="CU7" s="65"/>
      <c r="CV7" s="65"/>
      <c r="CW7" s="65"/>
      <c r="CX7" s="71"/>
      <c r="CY7" s="70"/>
      <c r="CZ7" s="65"/>
      <c r="DA7" s="65"/>
      <c r="DB7" s="65"/>
      <c r="DC7" s="71"/>
      <c r="DD7" s="70"/>
      <c r="DE7" s="65"/>
      <c r="DF7" s="65"/>
      <c r="DG7" s="65"/>
      <c r="DH7" s="71"/>
      <c r="DI7" s="70"/>
      <c r="DJ7" s="65"/>
      <c r="DK7" s="65"/>
      <c r="DL7" s="65"/>
      <c r="DM7" s="71"/>
      <c r="DN7" s="70"/>
      <c r="DO7" s="65"/>
      <c r="DP7" s="65"/>
      <c r="DQ7" s="65"/>
      <c r="DR7" s="71"/>
      <c r="DS7" s="70"/>
      <c r="DT7" s="65"/>
      <c r="DU7" s="65"/>
      <c r="DV7" s="65"/>
      <c r="DW7" s="71"/>
    </row>
    <row r="8" spans="1:127" ht="21.75">
      <c r="A8" s="9"/>
      <c r="B8" s="10" t="s">
        <v>57</v>
      </c>
      <c r="C8" s="56" t="s">
        <v>7</v>
      </c>
      <c r="D8" s="22">
        <f>IF($G$3=$Q$2,M8,IF($G$3=$V$2,R8,IF($G$3=$AA$2,W8,IF($G$3=$AF$2,AB8,IF($G$3=$AK$2,AG8,IF($G$3=$AP$2,AL8,IF($G$3=$AU$2,AQ8,IF($G$3=$AZ$2,AV8,IF($G$3=$BE$2,BA8,IF($G$3=$BJ$2,BF8,IF($G$3=$BO$2,BK8,IF($G$3=$BT$2,BP8,IF($G$3=$BY$2,BU8,IF($G$3=$CD$2,BZ8,IF($G$3=$CI$2,CE8,0)))))))))))))))</f>
        <v>1.41</v>
      </c>
      <c r="E8" s="22">
        <f>IF($G$3=$Q$2,N8,IF($G$3=$V$2,S8,IF($G$3=$AA$2,X8,IF($G$3=$AF$2,AC8,IF($G$3=$AK$2,AH8,IF($G$3=$AP$2,AM8,IF($G$3=$AU$2,AR8,IF($G$3=$AZ$2,AW8,IF($G$3=$BE$2,BB8,IF($G$3=$BJ$2,BG8,IF($G$3=$BO$2,BL8,IF($G$3=$BT$2,BQ8,IF($G$3=$BY$2,BV8,IF($G$3=$CD$2,CA8,IF($G$3=$CI$2,CF8,0)))))))))))))))</f>
        <v>0.22</v>
      </c>
      <c r="F8" s="22">
        <f>IF($G$3=$Q$2,O8,IF($G$3=$V$2,T8,IF($G$3=$AA$2,Y8,IF($G$3=$AF$2,AD8,IF($G$3=$AK$2,AI8,IF($G$3=$AP$2,AN8,IF($G$3=$AU$2,AS8,IF($G$3=$AZ$2,AX8,IF($G$3=$BE$2,BC8,IF($G$3=$BJ$2,BH8,IF($G$3=$BO$2,BM8,IF($G$3=$BT$2,BR8,IF($G$3=$BY$2,BW8,IF($G$3=$CD$2,CB8,IF($G$3=$CI$2,CG8,0)))))))))))))))</f>
        <v>0.28000000000000003</v>
      </c>
      <c r="G8" s="22">
        <f>IF($G$3=$Q$2,P8,IF($G$3=$V$2,U8,IF($G$3=$AA$2,Z8,IF($G$3=$AF$2,AE8,IF($G$3=$AK$2,AJ8,IF($G$3=$AP$2,AO8,IF($G$3=$AU$2,AT8,IF($G$3=$AZ$2,AY8,IF($G$3=$BE$2,BD8,IF($G$3=$BJ$2,BI8,IF($G$3=$BO$2,BN8,IF($G$3=$BT$2,BS8,IF($G$3=$BY$2,BX8,IF($G$3=$CD$2,CC8,IF($G$3=$CI$2,CH8,0)))))))))))))))</f>
        <v>1.63</v>
      </c>
      <c r="H8" s="22">
        <f>IF($G$3=$Q$2,Q8,IF($G$3=$V$2,V8,IF($G$3=$AA$2,AA8,IF($G$3=$AF$2,AF8,IF($G$3=$AK$2,AK8,IF($G$3=$AP$2,AP8,IF($G$3=$AU$2,AU8,IF($G$3=$AZ$2,AZ8,IF($G$3=$BE$2,BE8,IF($G$3=$BJ$2,BJ8,IF($G$3=$BO$2,BO8,IF($G$3=$BT$2,BT8,IF($G$3=$BY$2,BY8,IF($G$3=$CD$2,CD8,IF($G$3=$CI$2,CI8,0)))))))))))))))</f>
        <v>1.69</v>
      </c>
      <c r="J8" s="9"/>
      <c r="K8" s="10" t="s">
        <v>57</v>
      </c>
      <c r="L8" s="62" t="s">
        <v>7</v>
      </c>
      <c r="M8" s="1368"/>
      <c r="N8" s="1369"/>
      <c r="O8" s="1369"/>
      <c r="P8" s="1369"/>
      <c r="Q8" s="1370"/>
      <c r="R8" s="1389">
        <v>1.37</v>
      </c>
      <c r="S8" s="1390">
        <v>0.22</v>
      </c>
      <c r="T8" s="1390">
        <v>0.28000000000000003</v>
      </c>
      <c r="U8" s="1390">
        <f>R8+S8</f>
        <v>1.59</v>
      </c>
      <c r="V8" s="1391">
        <f>R8+T8</f>
        <v>1.6500000000000001</v>
      </c>
      <c r="W8" s="568">
        <v>1.38</v>
      </c>
      <c r="X8" s="559">
        <v>0.22</v>
      </c>
      <c r="Y8" s="559">
        <v>0.28000000000000003</v>
      </c>
      <c r="Z8" s="559">
        <v>1.6</v>
      </c>
      <c r="AA8" s="560">
        <v>1.66</v>
      </c>
      <c r="AB8" s="568">
        <v>1.4</v>
      </c>
      <c r="AC8" s="559">
        <v>0.22</v>
      </c>
      <c r="AD8" s="559">
        <v>0.28000000000000003</v>
      </c>
      <c r="AE8" s="559">
        <v>1.62</v>
      </c>
      <c r="AF8" s="560">
        <v>1.68</v>
      </c>
      <c r="AG8" s="568">
        <v>1.41</v>
      </c>
      <c r="AH8" s="559">
        <v>0.22</v>
      </c>
      <c r="AI8" s="559">
        <v>0.28000000000000003</v>
      </c>
      <c r="AJ8" s="559">
        <v>1.63</v>
      </c>
      <c r="AK8" s="560">
        <v>1.69</v>
      </c>
      <c r="AL8" s="568">
        <v>1.42</v>
      </c>
      <c r="AM8" s="559">
        <v>0.22</v>
      </c>
      <c r="AN8" s="559">
        <v>0.28000000000000003</v>
      </c>
      <c r="AO8" s="559">
        <v>1.64</v>
      </c>
      <c r="AP8" s="560">
        <v>1.7</v>
      </c>
      <c r="AQ8" s="568">
        <v>1.43</v>
      </c>
      <c r="AR8" s="559">
        <v>0.22</v>
      </c>
      <c r="AS8" s="559">
        <v>0.28000000000000003</v>
      </c>
      <c r="AT8" s="559">
        <v>1.65</v>
      </c>
      <c r="AU8" s="560">
        <v>1.71</v>
      </c>
      <c r="AV8" s="568">
        <v>1.45</v>
      </c>
      <c r="AW8" s="559">
        <v>0.22</v>
      </c>
      <c r="AX8" s="559">
        <v>0.28000000000000003</v>
      </c>
      <c r="AY8" s="559">
        <v>1.67</v>
      </c>
      <c r="AZ8" s="560">
        <v>1.73</v>
      </c>
      <c r="BA8" s="568">
        <v>1.46</v>
      </c>
      <c r="BB8" s="559">
        <v>0.22</v>
      </c>
      <c r="BC8" s="559">
        <v>0.28000000000000003</v>
      </c>
      <c r="BD8" s="559">
        <v>1.68</v>
      </c>
      <c r="BE8" s="560">
        <v>1.74</v>
      </c>
      <c r="BF8" s="568">
        <v>1.47</v>
      </c>
      <c r="BG8" s="559">
        <v>0.22</v>
      </c>
      <c r="BH8" s="559">
        <v>0.28000000000000003</v>
      </c>
      <c r="BI8" s="559">
        <v>1.69</v>
      </c>
      <c r="BJ8" s="560">
        <v>1.75</v>
      </c>
      <c r="BK8" s="568">
        <v>1.48</v>
      </c>
      <c r="BL8" s="559">
        <v>0.22</v>
      </c>
      <c r="BM8" s="559">
        <v>0.28000000000000003</v>
      </c>
      <c r="BN8" s="559">
        <v>1.7</v>
      </c>
      <c r="BO8" s="560">
        <v>1.76</v>
      </c>
      <c r="BP8" s="568">
        <v>1.5</v>
      </c>
      <c r="BQ8" s="559">
        <v>0.22</v>
      </c>
      <c r="BR8" s="559">
        <v>0.28000000000000003</v>
      </c>
      <c r="BS8" s="559">
        <v>1.72</v>
      </c>
      <c r="BT8" s="560">
        <v>1.78</v>
      </c>
      <c r="BU8" s="568">
        <v>1.51</v>
      </c>
      <c r="BV8" s="559">
        <v>0.22</v>
      </c>
      <c r="BW8" s="559">
        <v>0.28000000000000003</v>
      </c>
      <c r="BX8" s="559">
        <v>1.73</v>
      </c>
      <c r="BY8" s="560">
        <v>1.79</v>
      </c>
      <c r="BZ8" s="568">
        <v>1.52</v>
      </c>
      <c r="CA8" s="559">
        <v>0.22</v>
      </c>
      <c r="CB8" s="559">
        <v>0.28000000000000003</v>
      </c>
      <c r="CC8" s="559">
        <v>1.74</v>
      </c>
      <c r="CD8" s="560">
        <v>1.8</v>
      </c>
      <c r="CE8" s="568">
        <v>1.54</v>
      </c>
      <c r="CF8" s="559">
        <v>0.22</v>
      </c>
      <c r="CG8" s="559">
        <v>0.28000000000000003</v>
      </c>
      <c r="CH8" s="559">
        <v>1.76</v>
      </c>
      <c r="CI8" s="560">
        <v>1.82</v>
      </c>
      <c r="CJ8" s="4">
        <v>1.55</v>
      </c>
      <c r="CK8" s="4">
        <v>0.22</v>
      </c>
      <c r="CL8" s="4">
        <v>0.28000000000000003</v>
      </c>
      <c r="CM8" s="4">
        <v>1.77</v>
      </c>
      <c r="CN8" s="4">
        <v>1.83</v>
      </c>
      <c r="CO8" s="4">
        <v>1.56</v>
      </c>
      <c r="CP8" s="4">
        <v>0.22</v>
      </c>
      <c r="CQ8" s="4">
        <v>0.28000000000000003</v>
      </c>
      <c r="CR8" s="4">
        <v>1.78</v>
      </c>
      <c r="CS8" s="4">
        <v>1.84</v>
      </c>
      <c r="CT8" s="4">
        <v>1.57</v>
      </c>
      <c r="CU8" s="4">
        <v>0.22</v>
      </c>
      <c r="CV8" s="4">
        <v>0.28000000000000003</v>
      </c>
      <c r="CW8" s="4">
        <v>1.79</v>
      </c>
      <c r="CX8" s="4">
        <v>1.85</v>
      </c>
      <c r="CY8" s="4">
        <v>1.59</v>
      </c>
      <c r="CZ8" s="4">
        <v>0.22</v>
      </c>
      <c r="DA8" s="4">
        <v>0.28000000000000003</v>
      </c>
      <c r="DB8" s="4">
        <v>1.81</v>
      </c>
      <c r="DC8" s="4">
        <v>1.87</v>
      </c>
      <c r="DD8" s="4">
        <v>1.6</v>
      </c>
      <c r="DE8" s="4">
        <v>0.22</v>
      </c>
      <c r="DF8" s="4">
        <v>0.28000000000000003</v>
      </c>
      <c r="DG8" s="4">
        <v>1.82</v>
      </c>
      <c r="DH8" s="4">
        <v>1.88</v>
      </c>
      <c r="DI8" s="4">
        <v>1.61</v>
      </c>
      <c r="DJ8" s="4">
        <v>0.22</v>
      </c>
      <c r="DK8" s="4">
        <v>0.28000000000000003</v>
      </c>
      <c r="DL8" s="4">
        <v>1.83</v>
      </c>
      <c r="DM8" s="4">
        <v>1.89</v>
      </c>
      <c r="DN8" s="4">
        <v>1.62</v>
      </c>
      <c r="DO8" s="4">
        <v>0.22</v>
      </c>
      <c r="DP8" s="4">
        <v>0.28000000000000003</v>
      </c>
      <c r="DQ8" s="4">
        <v>1.84</v>
      </c>
      <c r="DR8" s="4">
        <v>1.9</v>
      </c>
      <c r="DS8" s="4">
        <v>1.64</v>
      </c>
      <c r="DT8" s="4">
        <v>0.22</v>
      </c>
      <c r="DU8" s="4">
        <v>0.28000000000000003</v>
      </c>
      <c r="DV8" s="4">
        <v>1.86</v>
      </c>
      <c r="DW8" s="4">
        <v>1.92</v>
      </c>
    </row>
    <row r="9" spans="1:127" ht="21.75">
      <c r="A9" s="9"/>
      <c r="B9" s="11" t="s">
        <v>58</v>
      </c>
      <c r="C9" s="57" t="s">
        <v>7</v>
      </c>
      <c r="D9" s="22">
        <f t="shared" ref="D9:D72" si="0">IF($G$3=$Q$2,M9,IF($G$3=$V$2,R9,IF($G$3=$AA$2,W9,IF($G$3=$AF$2,AB9,IF($G$3=$AK$2,AG9,IF($G$3=$AP$2,AL9,IF($G$3=$AU$2,AQ9,IF($G$3=$AZ$2,AV9,IF($G$3=$BE$2,BA9,IF($G$3=$BJ$2,BF9,IF($G$3=$BO$2,BK9,IF($G$3=$BT$2,BP9,IF($G$3=$BY$2,BU9,IF($G$3=$CD$2,BZ9,IF($G$3=$CI$2,CE9,0)))))))))))))))</f>
        <v>2.86</v>
      </c>
      <c r="E9" s="22">
        <f t="shared" ref="E9:E72" si="1">IF($G$3=$Q$2,N9,IF($G$3=$V$2,S9,IF($G$3=$AA$2,X9,IF($G$3=$AF$2,AC9,IF($G$3=$AK$2,AH9,IF($G$3=$AP$2,AM9,IF($G$3=$AU$2,AR9,IF($G$3=$AZ$2,AW9,IF($G$3=$BE$2,BB9,IF($G$3=$BJ$2,BG9,IF($G$3=$BO$2,BL9,IF($G$3=$BT$2,BQ9,IF($G$3=$BY$2,BV9,IF($G$3=$CD$2,CA9,IF($G$3=$CI$2,CF9,0)))))))))))))))</f>
        <v>0.55000000000000004</v>
      </c>
      <c r="F9" s="22">
        <f t="shared" ref="F9:F72" si="2">IF($G$3=$Q$2,O9,IF($G$3=$V$2,T9,IF($G$3=$AA$2,Y9,IF($G$3=$AF$2,AD9,IF($G$3=$AK$2,AI9,IF($G$3=$AP$2,AN9,IF($G$3=$AU$2,AS9,IF($G$3=$AZ$2,AX9,IF($G$3=$BE$2,BC9,IF($G$3=$BJ$2,BH9,IF($G$3=$BO$2,BM9,IF($G$3=$BT$2,BR9,IF($G$3=$BY$2,BW9,IF($G$3=$CD$2,CB9,IF($G$3=$CI$2,CG9,0)))))))))))))))</f>
        <v>0.69</v>
      </c>
      <c r="G9" s="22">
        <f t="shared" ref="G9:G72" si="3">IF($G$3=$Q$2,P9,IF($G$3=$V$2,U9,IF($G$3=$AA$2,Z9,IF($G$3=$AF$2,AE9,IF($G$3=$AK$2,AJ9,IF($G$3=$AP$2,AO9,IF($G$3=$AU$2,AT9,IF($G$3=$AZ$2,AY9,IF($G$3=$BE$2,BD9,IF($G$3=$BJ$2,BI9,IF($G$3=$BO$2,BN9,IF($G$3=$BT$2,BS9,IF($G$3=$BY$2,BX9,IF($G$3=$CD$2,CC9,IF($G$3=$CI$2,CH9,0)))))))))))))))</f>
        <v>3.41</v>
      </c>
      <c r="H9" s="22">
        <f t="shared" ref="H9:H72" si="4">IF($G$3=$Q$2,Q9,IF($G$3=$V$2,V9,IF($G$3=$AA$2,AA9,IF($G$3=$AF$2,AF9,IF($G$3=$AK$2,AK9,IF($G$3=$AP$2,AP9,IF($G$3=$AU$2,AU9,IF($G$3=$AZ$2,AZ9,IF($G$3=$BE$2,BE9,IF($G$3=$BJ$2,BJ9,IF($G$3=$BO$2,BO9,IF($G$3=$BT$2,BT9,IF($G$3=$BY$2,BY9,IF($G$3=$CD$2,CD9,IF($G$3=$CI$2,CI9,0)))))))))))))))</f>
        <v>3.55</v>
      </c>
      <c r="J9" s="9"/>
      <c r="K9" s="11" t="s">
        <v>58</v>
      </c>
      <c r="L9" s="63" t="s">
        <v>7</v>
      </c>
      <c r="M9" s="1371"/>
      <c r="N9" s="1372"/>
      <c r="O9" s="1372"/>
      <c r="P9" s="1369"/>
      <c r="Q9" s="1370"/>
      <c r="R9" s="1392">
        <v>2.76</v>
      </c>
      <c r="S9" s="1393">
        <v>0.55000000000000004</v>
      </c>
      <c r="T9" s="1393">
        <v>0.69</v>
      </c>
      <c r="U9" s="1390">
        <f>R9+S9</f>
        <v>3.3099999999999996</v>
      </c>
      <c r="V9" s="1391">
        <f>R9+T9</f>
        <v>3.4499999999999997</v>
      </c>
      <c r="W9" s="561">
        <v>2.79</v>
      </c>
      <c r="X9" s="562">
        <v>0.55000000000000004</v>
      </c>
      <c r="Y9" s="562">
        <v>0.69</v>
      </c>
      <c r="Z9" s="559">
        <v>3.34</v>
      </c>
      <c r="AA9" s="560">
        <v>3.48</v>
      </c>
      <c r="AB9" s="561">
        <v>2.83</v>
      </c>
      <c r="AC9" s="562">
        <v>0.55000000000000004</v>
      </c>
      <c r="AD9" s="562">
        <v>0.69</v>
      </c>
      <c r="AE9" s="559">
        <v>3.38</v>
      </c>
      <c r="AF9" s="560">
        <v>3.52</v>
      </c>
      <c r="AG9" s="561">
        <v>2.86</v>
      </c>
      <c r="AH9" s="562">
        <v>0.55000000000000004</v>
      </c>
      <c r="AI9" s="562">
        <v>0.69</v>
      </c>
      <c r="AJ9" s="559">
        <v>3.41</v>
      </c>
      <c r="AK9" s="560">
        <v>3.55</v>
      </c>
      <c r="AL9" s="561">
        <v>2.89</v>
      </c>
      <c r="AM9" s="562">
        <v>0.55000000000000004</v>
      </c>
      <c r="AN9" s="562">
        <v>0.69</v>
      </c>
      <c r="AO9" s="559">
        <v>3.44</v>
      </c>
      <c r="AP9" s="560">
        <v>3.58</v>
      </c>
      <c r="AQ9" s="561">
        <v>2.92</v>
      </c>
      <c r="AR9" s="562">
        <v>0.55000000000000004</v>
      </c>
      <c r="AS9" s="562">
        <v>0.69</v>
      </c>
      <c r="AT9" s="559">
        <v>3.47</v>
      </c>
      <c r="AU9" s="560">
        <v>3.61</v>
      </c>
      <c r="AV9" s="561">
        <v>2.95</v>
      </c>
      <c r="AW9" s="562">
        <v>0.55000000000000004</v>
      </c>
      <c r="AX9" s="562">
        <v>0.69</v>
      </c>
      <c r="AY9" s="559">
        <v>3.5</v>
      </c>
      <c r="AZ9" s="560">
        <v>3.64</v>
      </c>
      <c r="BA9" s="561">
        <v>2.99</v>
      </c>
      <c r="BB9" s="562">
        <v>0.55000000000000004</v>
      </c>
      <c r="BC9" s="562">
        <v>0.69</v>
      </c>
      <c r="BD9" s="559">
        <v>3.54</v>
      </c>
      <c r="BE9" s="560">
        <v>3.68</v>
      </c>
      <c r="BF9" s="561">
        <v>3.02</v>
      </c>
      <c r="BG9" s="562">
        <v>0.55000000000000004</v>
      </c>
      <c r="BH9" s="562">
        <v>0.69</v>
      </c>
      <c r="BI9" s="559">
        <v>3.57</v>
      </c>
      <c r="BJ9" s="560">
        <v>3.71</v>
      </c>
      <c r="BK9" s="561">
        <v>3.05</v>
      </c>
      <c r="BL9" s="562">
        <v>0.55000000000000004</v>
      </c>
      <c r="BM9" s="562">
        <v>0.69</v>
      </c>
      <c r="BN9" s="559">
        <v>3.6</v>
      </c>
      <c r="BO9" s="560">
        <v>3.74</v>
      </c>
      <c r="BP9" s="561">
        <v>3.08</v>
      </c>
      <c r="BQ9" s="562">
        <v>0.55000000000000004</v>
      </c>
      <c r="BR9" s="562">
        <v>0.69</v>
      </c>
      <c r="BS9" s="559">
        <v>3.63</v>
      </c>
      <c r="BT9" s="560">
        <v>3.77</v>
      </c>
      <c r="BU9" s="561">
        <v>3.12</v>
      </c>
      <c r="BV9" s="562">
        <v>0.55000000000000004</v>
      </c>
      <c r="BW9" s="562">
        <v>0.69</v>
      </c>
      <c r="BX9" s="559">
        <v>3.67</v>
      </c>
      <c r="BY9" s="560">
        <v>3.81</v>
      </c>
      <c r="BZ9" s="561">
        <v>3.15</v>
      </c>
      <c r="CA9" s="562">
        <v>0.55000000000000004</v>
      </c>
      <c r="CB9" s="562">
        <v>0.69</v>
      </c>
      <c r="CC9" s="559">
        <v>3.7</v>
      </c>
      <c r="CD9" s="560">
        <v>3.84</v>
      </c>
      <c r="CE9" s="561">
        <v>3.18</v>
      </c>
      <c r="CF9" s="562">
        <v>0.55000000000000004</v>
      </c>
      <c r="CG9" s="562">
        <v>0.69</v>
      </c>
      <c r="CH9" s="559">
        <v>3.73</v>
      </c>
      <c r="CI9" s="560">
        <v>3.87</v>
      </c>
      <c r="CJ9" s="4">
        <v>3.21</v>
      </c>
      <c r="CK9" s="4">
        <v>0.55000000000000004</v>
      </c>
      <c r="CL9" s="4">
        <v>0.69</v>
      </c>
      <c r="CM9" s="4">
        <v>3.76</v>
      </c>
      <c r="CN9" s="4">
        <v>3.9</v>
      </c>
      <c r="CO9" s="4">
        <v>3.24</v>
      </c>
      <c r="CP9" s="4">
        <v>0.55000000000000004</v>
      </c>
      <c r="CQ9" s="4">
        <v>0.69</v>
      </c>
      <c r="CR9" s="4">
        <v>3.79</v>
      </c>
      <c r="CS9" s="4">
        <v>3.93</v>
      </c>
      <c r="CT9" s="4">
        <v>3.28</v>
      </c>
      <c r="CU9" s="4">
        <v>0.55000000000000004</v>
      </c>
      <c r="CV9" s="4">
        <v>0.69</v>
      </c>
      <c r="CW9" s="4">
        <v>3.83</v>
      </c>
      <c r="CX9" s="4">
        <v>3.97</v>
      </c>
      <c r="CY9" s="4">
        <v>3.31</v>
      </c>
      <c r="CZ9" s="4">
        <v>0.55000000000000004</v>
      </c>
      <c r="DA9" s="4">
        <v>0.69</v>
      </c>
      <c r="DB9" s="4">
        <v>3.86</v>
      </c>
      <c r="DC9" s="4">
        <v>4</v>
      </c>
      <c r="DD9" s="4">
        <v>3.34</v>
      </c>
      <c r="DE9" s="4">
        <v>0.55000000000000004</v>
      </c>
      <c r="DF9" s="4">
        <v>0.69</v>
      </c>
      <c r="DG9" s="4">
        <v>3.89</v>
      </c>
      <c r="DH9" s="4">
        <v>4.03</v>
      </c>
      <c r="DI9" s="4">
        <v>3.37</v>
      </c>
      <c r="DJ9" s="4">
        <v>0.55000000000000004</v>
      </c>
      <c r="DK9" s="4">
        <v>0.69</v>
      </c>
      <c r="DL9" s="4">
        <v>3.92</v>
      </c>
      <c r="DM9" s="4">
        <v>4.0599999999999996</v>
      </c>
      <c r="DN9" s="4">
        <v>3.41</v>
      </c>
      <c r="DO9" s="4">
        <v>0.55000000000000004</v>
      </c>
      <c r="DP9" s="4">
        <v>0.69</v>
      </c>
      <c r="DQ9" s="4">
        <v>3.96</v>
      </c>
      <c r="DR9" s="4">
        <v>4.0999999999999996</v>
      </c>
      <c r="DS9" s="4">
        <v>3.44</v>
      </c>
      <c r="DT9" s="4">
        <v>0.55000000000000004</v>
      </c>
      <c r="DU9" s="4">
        <v>0.69</v>
      </c>
      <c r="DV9" s="4">
        <v>3.99</v>
      </c>
      <c r="DW9" s="4">
        <v>4.13</v>
      </c>
    </row>
    <row r="10" spans="1:127" ht="21.75">
      <c r="A10" s="9"/>
      <c r="B10" s="11" t="s">
        <v>59</v>
      </c>
      <c r="C10" s="57" t="s">
        <v>7</v>
      </c>
      <c r="D10" s="22">
        <f t="shared" si="0"/>
        <v>4.3099999999999996</v>
      </c>
      <c r="E10" s="22">
        <f t="shared" si="1"/>
        <v>0.78</v>
      </c>
      <c r="F10" s="22">
        <f t="shared" si="2"/>
        <v>0.98</v>
      </c>
      <c r="G10" s="22">
        <f t="shared" si="3"/>
        <v>5.09</v>
      </c>
      <c r="H10" s="22">
        <f t="shared" si="4"/>
        <v>5.29</v>
      </c>
      <c r="J10" s="9"/>
      <c r="K10" s="11" t="s">
        <v>59</v>
      </c>
      <c r="L10" s="63" t="s">
        <v>7</v>
      </c>
      <c r="M10" s="1371"/>
      <c r="N10" s="1372"/>
      <c r="O10" s="1372"/>
      <c r="P10" s="1369"/>
      <c r="Q10" s="1370"/>
      <c r="R10" s="1392">
        <v>4.16</v>
      </c>
      <c r="S10" s="1393">
        <v>0.78</v>
      </c>
      <c r="T10" s="1393">
        <v>0.98</v>
      </c>
      <c r="U10" s="1390">
        <f>R10+S10</f>
        <v>4.9400000000000004</v>
      </c>
      <c r="V10" s="1391">
        <f>R10+T10</f>
        <v>5.1400000000000006</v>
      </c>
      <c r="W10" s="561">
        <v>4.21</v>
      </c>
      <c r="X10" s="562">
        <v>0.78</v>
      </c>
      <c r="Y10" s="562">
        <v>0.98</v>
      </c>
      <c r="Z10" s="559">
        <v>4.99</v>
      </c>
      <c r="AA10" s="560">
        <v>5.19</v>
      </c>
      <c r="AB10" s="561">
        <v>4.26</v>
      </c>
      <c r="AC10" s="562">
        <v>0.78</v>
      </c>
      <c r="AD10" s="562">
        <v>0.98</v>
      </c>
      <c r="AE10" s="559">
        <v>5.04</v>
      </c>
      <c r="AF10" s="560">
        <v>5.24</v>
      </c>
      <c r="AG10" s="561">
        <v>4.3099999999999996</v>
      </c>
      <c r="AH10" s="562">
        <v>0.78</v>
      </c>
      <c r="AI10" s="562">
        <v>0.98</v>
      </c>
      <c r="AJ10" s="559">
        <v>5.09</v>
      </c>
      <c r="AK10" s="560">
        <v>5.29</v>
      </c>
      <c r="AL10" s="561">
        <v>4.37</v>
      </c>
      <c r="AM10" s="562">
        <v>0.78</v>
      </c>
      <c r="AN10" s="562">
        <v>0.98</v>
      </c>
      <c r="AO10" s="559">
        <v>5.15</v>
      </c>
      <c r="AP10" s="560">
        <v>5.35</v>
      </c>
      <c r="AQ10" s="561">
        <v>4.42</v>
      </c>
      <c r="AR10" s="562">
        <v>0.78</v>
      </c>
      <c r="AS10" s="562">
        <v>0.98</v>
      </c>
      <c r="AT10" s="559">
        <v>5.2</v>
      </c>
      <c r="AU10" s="560">
        <v>5.4</v>
      </c>
      <c r="AV10" s="561">
        <v>4.47</v>
      </c>
      <c r="AW10" s="562">
        <v>0.78</v>
      </c>
      <c r="AX10" s="562">
        <v>0.98</v>
      </c>
      <c r="AY10" s="559">
        <v>5.25</v>
      </c>
      <c r="AZ10" s="560">
        <v>5.45</v>
      </c>
      <c r="BA10" s="561">
        <v>4.5199999999999996</v>
      </c>
      <c r="BB10" s="562">
        <v>0.78</v>
      </c>
      <c r="BC10" s="562">
        <v>0.98</v>
      </c>
      <c r="BD10" s="559">
        <v>5.3</v>
      </c>
      <c r="BE10" s="560">
        <v>5.5</v>
      </c>
      <c r="BF10" s="561">
        <v>4.58</v>
      </c>
      <c r="BG10" s="562">
        <v>0.78</v>
      </c>
      <c r="BH10" s="562">
        <v>0.98</v>
      </c>
      <c r="BI10" s="559">
        <v>5.36</v>
      </c>
      <c r="BJ10" s="560">
        <v>5.56</v>
      </c>
      <c r="BK10" s="561">
        <v>4.63</v>
      </c>
      <c r="BL10" s="562">
        <v>0.78</v>
      </c>
      <c r="BM10" s="562">
        <v>0.98</v>
      </c>
      <c r="BN10" s="559">
        <v>5.41</v>
      </c>
      <c r="BO10" s="560">
        <v>5.61</v>
      </c>
      <c r="BP10" s="561">
        <v>4.68</v>
      </c>
      <c r="BQ10" s="562">
        <v>0.78</v>
      </c>
      <c r="BR10" s="562">
        <v>0.98</v>
      </c>
      <c r="BS10" s="559">
        <v>5.46</v>
      </c>
      <c r="BT10" s="560">
        <v>5.66</v>
      </c>
      <c r="BU10" s="561">
        <v>4.7300000000000004</v>
      </c>
      <c r="BV10" s="562">
        <v>0.78</v>
      </c>
      <c r="BW10" s="562">
        <v>0.98</v>
      </c>
      <c r="BX10" s="559">
        <v>5.51</v>
      </c>
      <c r="BY10" s="560">
        <v>5.71</v>
      </c>
      <c r="BZ10" s="561">
        <v>4.78</v>
      </c>
      <c r="CA10" s="562">
        <v>0.78</v>
      </c>
      <c r="CB10" s="562">
        <v>0.98</v>
      </c>
      <c r="CC10" s="559">
        <v>5.56</v>
      </c>
      <c r="CD10" s="560">
        <v>5.76</v>
      </c>
      <c r="CE10" s="561">
        <v>4.84</v>
      </c>
      <c r="CF10" s="562">
        <v>0.78</v>
      </c>
      <c r="CG10" s="562">
        <v>0.98</v>
      </c>
      <c r="CH10" s="559">
        <v>5.62</v>
      </c>
      <c r="CI10" s="560">
        <v>5.82</v>
      </c>
      <c r="CJ10" s="4">
        <v>4.8899999999999997</v>
      </c>
      <c r="CK10" s="4">
        <v>0.78</v>
      </c>
      <c r="CL10" s="4">
        <v>0.98</v>
      </c>
      <c r="CM10" s="4">
        <v>5.67</v>
      </c>
      <c r="CN10" s="4">
        <v>5.87</v>
      </c>
      <c r="CO10" s="4">
        <v>4.9400000000000004</v>
      </c>
      <c r="CP10" s="4">
        <v>0.78</v>
      </c>
      <c r="CQ10" s="4">
        <v>0.98</v>
      </c>
      <c r="CR10" s="4">
        <v>5.72</v>
      </c>
      <c r="CS10" s="4">
        <v>5.92</v>
      </c>
      <c r="CT10" s="4">
        <v>4.99</v>
      </c>
      <c r="CU10" s="4">
        <v>0.78</v>
      </c>
      <c r="CV10" s="4">
        <v>0.98</v>
      </c>
      <c r="CW10" s="4">
        <v>5.77</v>
      </c>
      <c r="CX10" s="4">
        <v>5.97</v>
      </c>
      <c r="CY10" s="4">
        <v>5.04</v>
      </c>
      <c r="CZ10" s="4">
        <v>0.78</v>
      </c>
      <c r="DA10" s="4">
        <v>0.98</v>
      </c>
      <c r="DB10" s="4">
        <v>5.82</v>
      </c>
      <c r="DC10" s="4">
        <v>6.02</v>
      </c>
      <c r="DD10" s="4">
        <v>5.0999999999999996</v>
      </c>
      <c r="DE10" s="4">
        <v>0.78</v>
      </c>
      <c r="DF10" s="4">
        <v>0.98</v>
      </c>
      <c r="DG10" s="4">
        <v>5.88</v>
      </c>
      <c r="DH10" s="4">
        <v>6.08</v>
      </c>
      <c r="DI10" s="4">
        <v>5.15</v>
      </c>
      <c r="DJ10" s="4">
        <v>0.78</v>
      </c>
      <c r="DK10" s="4">
        <v>0.98</v>
      </c>
      <c r="DL10" s="4">
        <v>5.93</v>
      </c>
      <c r="DM10" s="4">
        <v>6.13</v>
      </c>
      <c r="DN10" s="4">
        <v>5.2</v>
      </c>
      <c r="DO10" s="4">
        <v>0.78</v>
      </c>
      <c r="DP10" s="4">
        <v>0.98</v>
      </c>
      <c r="DQ10" s="4">
        <v>5.98</v>
      </c>
      <c r="DR10" s="4">
        <v>6.18</v>
      </c>
      <c r="DS10" s="4">
        <v>5.25</v>
      </c>
      <c r="DT10" s="4">
        <v>0.78</v>
      </c>
      <c r="DU10" s="4">
        <v>0.98</v>
      </c>
      <c r="DV10" s="4">
        <v>6.03</v>
      </c>
      <c r="DW10" s="4">
        <v>6.23</v>
      </c>
    </row>
    <row r="11" spans="1:127" ht="21.75">
      <c r="A11" s="9">
        <v>2</v>
      </c>
      <c r="B11" s="11" t="s">
        <v>60</v>
      </c>
      <c r="C11" s="57"/>
      <c r="D11" s="22"/>
      <c r="E11" s="22"/>
      <c r="F11" s="22"/>
      <c r="G11" s="22"/>
      <c r="H11" s="22"/>
      <c r="J11" s="9">
        <v>2</v>
      </c>
      <c r="K11" s="11" t="s">
        <v>60</v>
      </c>
      <c r="L11" s="63"/>
      <c r="M11" s="1371"/>
      <c r="N11" s="1372"/>
      <c r="O11" s="1372"/>
      <c r="P11" s="1372"/>
      <c r="Q11" s="1373"/>
      <c r="R11" s="1392"/>
      <c r="S11" s="1393"/>
      <c r="T11" s="1393"/>
      <c r="U11" s="1393"/>
      <c r="V11" s="1394"/>
      <c r="W11" s="561"/>
      <c r="X11" s="562"/>
      <c r="Y11" s="562"/>
      <c r="Z11" s="562"/>
      <c r="AA11" s="563"/>
      <c r="AB11" s="561"/>
      <c r="AC11" s="562"/>
      <c r="AD11" s="562"/>
      <c r="AE11" s="562"/>
      <c r="AF11" s="563"/>
      <c r="AG11" s="561"/>
      <c r="AH11" s="562"/>
      <c r="AI11" s="562"/>
      <c r="AJ11" s="562"/>
      <c r="AK11" s="563"/>
      <c r="AL11" s="561"/>
      <c r="AM11" s="562"/>
      <c r="AN11" s="562"/>
      <c r="AO11" s="562"/>
      <c r="AP11" s="563"/>
      <c r="AQ11" s="561"/>
      <c r="AR11" s="562"/>
      <c r="AS11" s="562"/>
      <c r="AT11" s="562"/>
      <c r="AU11" s="563"/>
      <c r="AV11" s="561"/>
      <c r="AW11" s="562"/>
      <c r="AX11" s="562"/>
      <c r="AY11" s="562"/>
      <c r="AZ11" s="563"/>
      <c r="BA11" s="561"/>
      <c r="BB11" s="562"/>
      <c r="BC11" s="562"/>
      <c r="BD11" s="562"/>
      <c r="BE11" s="563"/>
      <c r="BF11" s="561"/>
      <c r="BG11" s="562"/>
      <c r="BH11" s="562"/>
      <c r="BI11" s="562"/>
      <c r="BJ11" s="563"/>
      <c r="BK11" s="561"/>
      <c r="BL11" s="562"/>
      <c r="BM11" s="562"/>
      <c r="BN11" s="562"/>
      <c r="BO11" s="563"/>
      <c r="BP11" s="561"/>
      <c r="BQ11" s="562"/>
      <c r="BR11" s="562"/>
      <c r="BS11" s="562"/>
      <c r="BT11" s="563"/>
      <c r="BU11" s="561"/>
      <c r="BV11" s="562"/>
      <c r="BW11" s="562"/>
      <c r="BX11" s="562"/>
      <c r="BY11" s="563"/>
      <c r="BZ11" s="561"/>
      <c r="CA11" s="562"/>
      <c r="CB11" s="562"/>
      <c r="CC11" s="562"/>
      <c r="CD11" s="563"/>
      <c r="CE11" s="561"/>
      <c r="CF11" s="562"/>
      <c r="CG11" s="562"/>
      <c r="CH11" s="562"/>
      <c r="CI11" s="563"/>
    </row>
    <row r="12" spans="1:127" ht="21.75">
      <c r="A12" s="9"/>
      <c r="B12" s="11" t="s">
        <v>61</v>
      </c>
      <c r="C12" s="57" t="s">
        <v>62</v>
      </c>
      <c r="D12" s="22">
        <f t="shared" si="0"/>
        <v>16.53</v>
      </c>
      <c r="E12" s="22">
        <f t="shared" si="1"/>
        <v>3.51</v>
      </c>
      <c r="F12" s="22">
        <f t="shared" si="2"/>
        <v>4.3899999999999997</v>
      </c>
      <c r="G12" s="22">
        <f t="shared" si="3"/>
        <v>20.04</v>
      </c>
      <c r="H12" s="22">
        <f t="shared" si="4"/>
        <v>20.92</v>
      </c>
      <c r="J12" s="9"/>
      <c r="K12" s="11" t="s">
        <v>61</v>
      </c>
      <c r="L12" s="63" t="s">
        <v>62</v>
      </c>
      <c r="M12" s="1371"/>
      <c r="N12" s="1372"/>
      <c r="O12" s="1372"/>
      <c r="P12" s="1369"/>
      <c r="Q12" s="1370"/>
      <c r="R12" s="1392">
        <v>15.89</v>
      </c>
      <c r="S12" s="1393">
        <v>3.51</v>
      </c>
      <c r="T12" s="1393">
        <v>4.3899999999999997</v>
      </c>
      <c r="U12" s="1390">
        <f>R12+S12</f>
        <v>19.399999999999999</v>
      </c>
      <c r="V12" s="1391">
        <f>R12+T12</f>
        <v>20.28</v>
      </c>
      <c r="W12" s="561">
        <v>16.100000000000001</v>
      </c>
      <c r="X12" s="562">
        <v>3.51</v>
      </c>
      <c r="Y12" s="562">
        <v>4.3899999999999997</v>
      </c>
      <c r="Z12" s="559">
        <v>19.61</v>
      </c>
      <c r="AA12" s="560">
        <v>20.49</v>
      </c>
      <c r="AB12" s="561">
        <v>16.32</v>
      </c>
      <c r="AC12" s="562">
        <v>3.51</v>
      </c>
      <c r="AD12" s="562">
        <v>4.3899999999999997</v>
      </c>
      <c r="AE12" s="559">
        <v>19.829999999999998</v>
      </c>
      <c r="AF12" s="560">
        <v>20.71</v>
      </c>
      <c r="AG12" s="561">
        <v>16.53</v>
      </c>
      <c r="AH12" s="562">
        <v>3.51</v>
      </c>
      <c r="AI12" s="562">
        <v>4.3899999999999997</v>
      </c>
      <c r="AJ12" s="559">
        <v>20.04</v>
      </c>
      <c r="AK12" s="560">
        <v>20.92</v>
      </c>
      <c r="AL12" s="561">
        <v>16.75</v>
      </c>
      <c r="AM12" s="562">
        <v>3.51</v>
      </c>
      <c r="AN12" s="562">
        <v>4.3899999999999997</v>
      </c>
      <c r="AO12" s="559">
        <v>20.260000000000002</v>
      </c>
      <c r="AP12" s="560">
        <v>21.14</v>
      </c>
      <c r="AQ12" s="561">
        <v>16.96</v>
      </c>
      <c r="AR12" s="562">
        <v>3.51</v>
      </c>
      <c r="AS12" s="562">
        <v>4.3899999999999997</v>
      </c>
      <c r="AT12" s="559">
        <v>20.47</v>
      </c>
      <c r="AU12" s="560">
        <v>21.35</v>
      </c>
      <c r="AV12" s="561">
        <v>17.18</v>
      </c>
      <c r="AW12" s="562">
        <v>3.51</v>
      </c>
      <c r="AX12" s="562">
        <v>4.3899999999999997</v>
      </c>
      <c r="AY12" s="559">
        <v>20.69</v>
      </c>
      <c r="AZ12" s="560">
        <v>21.57</v>
      </c>
      <c r="BA12" s="561">
        <v>17.39</v>
      </c>
      <c r="BB12" s="562">
        <v>3.51</v>
      </c>
      <c r="BC12" s="562">
        <v>4.3899999999999997</v>
      </c>
      <c r="BD12" s="559">
        <v>20.9</v>
      </c>
      <c r="BE12" s="560">
        <v>21.78</v>
      </c>
      <c r="BF12" s="561">
        <v>17.61</v>
      </c>
      <c r="BG12" s="562">
        <v>3.51</v>
      </c>
      <c r="BH12" s="562">
        <v>4.3899999999999997</v>
      </c>
      <c r="BI12" s="559">
        <v>21.12</v>
      </c>
      <c r="BJ12" s="560">
        <v>22</v>
      </c>
      <c r="BK12" s="561">
        <v>17.829999999999998</v>
      </c>
      <c r="BL12" s="562">
        <v>3.51</v>
      </c>
      <c r="BM12" s="562">
        <v>4.3899999999999997</v>
      </c>
      <c r="BN12" s="559">
        <v>21.34</v>
      </c>
      <c r="BO12" s="560">
        <v>22.22</v>
      </c>
      <c r="BP12" s="561">
        <v>18.04</v>
      </c>
      <c r="BQ12" s="562">
        <v>3.51</v>
      </c>
      <c r="BR12" s="562">
        <v>4.3899999999999997</v>
      </c>
      <c r="BS12" s="559">
        <v>21.55</v>
      </c>
      <c r="BT12" s="560">
        <v>22.43</v>
      </c>
      <c r="BU12" s="561">
        <v>18.260000000000002</v>
      </c>
      <c r="BV12" s="562">
        <v>3.51</v>
      </c>
      <c r="BW12" s="562">
        <v>4.3899999999999997</v>
      </c>
      <c r="BX12" s="559">
        <v>21.77</v>
      </c>
      <c r="BY12" s="560">
        <v>22.65</v>
      </c>
      <c r="BZ12" s="561">
        <v>18.47</v>
      </c>
      <c r="CA12" s="562">
        <v>3.51</v>
      </c>
      <c r="CB12" s="562">
        <v>4.3899999999999997</v>
      </c>
      <c r="CC12" s="559">
        <v>21.98</v>
      </c>
      <c r="CD12" s="560">
        <v>22.86</v>
      </c>
      <c r="CE12" s="561">
        <v>18.690000000000001</v>
      </c>
      <c r="CF12" s="562">
        <v>3.51</v>
      </c>
      <c r="CG12" s="562">
        <v>4.3899999999999997</v>
      </c>
      <c r="CH12" s="559">
        <v>22.2</v>
      </c>
      <c r="CI12" s="560">
        <v>23.08</v>
      </c>
      <c r="CJ12" s="4">
        <v>18.899999999999999</v>
      </c>
      <c r="CK12" s="4">
        <v>3.51</v>
      </c>
      <c r="CL12" s="4">
        <v>4.3899999999999997</v>
      </c>
      <c r="CM12" s="4">
        <v>22.41</v>
      </c>
      <c r="CN12" s="4">
        <v>23.29</v>
      </c>
      <c r="CO12" s="4">
        <v>19.12</v>
      </c>
      <c r="CP12" s="4">
        <v>3.51</v>
      </c>
      <c r="CQ12" s="4">
        <v>4.3899999999999997</v>
      </c>
      <c r="CR12" s="4">
        <v>22.63</v>
      </c>
      <c r="CS12" s="4">
        <v>23.51</v>
      </c>
      <c r="CT12" s="4">
        <v>19.329999999999998</v>
      </c>
      <c r="CU12" s="4">
        <v>3.51</v>
      </c>
      <c r="CV12" s="4">
        <v>4.3899999999999997</v>
      </c>
      <c r="CW12" s="4">
        <v>22.84</v>
      </c>
      <c r="CX12" s="4">
        <v>23.72</v>
      </c>
      <c r="CY12" s="4">
        <v>19.55</v>
      </c>
      <c r="CZ12" s="4">
        <v>3.51</v>
      </c>
      <c r="DA12" s="4">
        <v>4.3899999999999997</v>
      </c>
      <c r="DB12" s="4">
        <v>23.06</v>
      </c>
      <c r="DC12" s="4">
        <v>23.94</v>
      </c>
      <c r="DD12" s="4">
        <v>19.77</v>
      </c>
      <c r="DE12" s="4">
        <v>3.51</v>
      </c>
      <c r="DF12" s="4">
        <v>4.3899999999999997</v>
      </c>
      <c r="DG12" s="4">
        <v>23.28</v>
      </c>
      <c r="DH12" s="4">
        <v>24.16</v>
      </c>
      <c r="DI12" s="4">
        <v>19.98</v>
      </c>
      <c r="DJ12" s="4">
        <v>3.51</v>
      </c>
      <c r="DK12" s="4">
        <v>4.3899999999999997</v>
      </c>
      <c r="DL12" s="4">
        <v>23.49</v>
      </c>
      <c r="DM12" s="4">
        <v>24.37</v>
      </c>
      <c r="DN12" s="4">
        <v>20.2</v>
      </c>
      <c r="DO12" s="4">
        <v>3.51</v>
      </c>
      <c r="DP12" s="4">
        <v>4.3899999999999997</v>
      </c>
      <c r="DQ12" s="4">
        <v>23.71</v>
      </c>
      <c r="DR12" s="4">
        <v>24.59</v>
      </c>
      <c r="DS12" s="4">
        <v>20.41</v>
      </c>
      <c r="DT12" s="4">
        <v>3.51</v>
      </c>
      <c r="DU12" s="4">
        <v>4.3899999999999997</v>
      </c>
      <c r="DV12" s="4">
        <v>23.92</v>
      </c>
      <c r="DW12" s="4">
        <v>24.8</v>
      </c>
    </row>
    <row r="13" spans="1:127" ht="21.75">
      <c r="A13" s="9"/>
      <c r="B13" s="11" t="s">
        <v>63</v>
      </c>
      <c r="C13" s="57" t="s">
        <v>64</v>
      </c>
      <c r="D13" s="22">
        <f t="shared" si="0"/>
        <v>31.53</v>
      </c>
      <c r="E13" s="22">
        <f t="shared" si="1"/>
        <v>10.8</v>
      </c>
      <c r="F13" s="22">
        <f t="shared" si="2"/>
        <v>13.5</v>
      </c>
      <c r="G13" s="22">
        <f t="shared" si="3"/>
        <v>42.33</v>
      </c>
      <c r="H13" s="22">
        <f t="shared" si="4"/>
        <v>45.03</v>
      </c>
      <c r="J13" s="9"/>
      <c r="K13" s="11" t="s">
        <v>63</v>
      </c>
      <c r="L13" s="63" t="s">
        <v>64</v>
      </c>
      <c r="M13" s="1371"/>
      <c r="N13" s="1372"/>
      <c r="O13" s="1372"/>
      <c r="P13" s="1369"/>
      <c r="Q13" s="1370"/>
      <c r="R13" s="1392">
        <v>30.18</v>
      </c>
      <c r="S13" s="1393">
        <v>10.8</v>
      </c>
      <c r="T13" s="1393">
        <v>13.5</v>
      </c>
      <c r="U13" s="1390">
        <f>R13+S13</f>
        <v>40.980000000000004</v>
      </c>
      <c r="V13" s="1391">
        <f>R13+T13</f>
        <v>43.68</v>
      </c>
      <c r="W13" s="561">
        <v>30.63</v>
      </c>
      <c r="X13" s="562">
        <v>10.8</v>
      </c>
      <c r="Y13" s="562">
        <v>13.5</v>
      </c>
      <c r="Z13" s="559">
        <v>41.43</v>
      </c>
      <c r="AA13" s="560">
        <v>44.13</v>
      </c>
      <c r="AB13" s="561">
        <v>31.08</v>
      </c>
      <c r="AC13" s="562">
        <v>10.8</v>
      </c>
      <c r="AD13" s="562">
        <v>13.5</v>
      </c>
      <c r="AE13" s="559">
        <v>41.88</v>
      </c>
      <c r="AF13" s="560">
        <v>44.58</v>
      </c>
      <c r="AG13" s="561">
        <v>31.53</v>
      </c>
      <c r="AH13" s="562">
        <v>10.8</v>
      </c>
      <c r="AI13" s="562">
        <v>13.5</v>
      </c>
      <c r="AJ13" s="559">
        <v>42.33</v>
      </c>
      <c r="AK13" s="560">
        <v>45.03</v>
      </c>
      <c r="AL13" s="561">
        <v>31.98</v>
      </c>
      <c r="AM13" s="562">
        <v>10.8</v>
      </c>
      <c r="AN13" s="562">
        <v>13.5</v>
      </c>
      <c r="AO13" s="559">
        <v>42.78</v>
      </c>
      <c r="AP13" s="560">
        <v>45.48</v>
      </c>
      <c r="AQ13" s="561">
        <v>32.43</v>
      </c>
      <c r="AR13" s="562">
        <v>10.8</v>
      </c>
      <c r="AS13" s="562">
        <v>13.5</v>
      </c>
      <c r="AT13" s="559">
        <v>43.23</v>
      </c>
      <c r="AU13" s="560">
        <v>45.93</v>
      </c>
      <c r="AV13" s="561">
        <v>32.880000000000003</v>
      </c>
      <c r="AW13" s="562">
        <v>10.8</v>
      </c>
      <c r="AX13" s="562">
        <v>13.5</v>
      </c>
      <c r="AY13" s="559">
        <v>43.68</v>
      </c>
      <c r="AZ13" s="560">
        <v>46.38</v>
      </c>
      <c r="BA13" s="561">
        <v>33.33</v>
      </c>
      <c r="BB13" s="562">
        <v>10.8</v>
      </c>
      <c r="BC13" s="562">
        <v>13.5</v>
      </c>
      <c r="BD13" s="559">
        <v>44.13</v>
      </c>
      <c r="BE13" s="560">
        <v>46.83</v>
      </c>
      <c r="BF13" s="561">
        <v>33.78</v>
      </c>
      <c r="BG13" s="562">
        <v>10.8</v>
      </c>
      <c r="BH13" s="562">
        <v>13.5</v>
      </c>
      <c r="BI13" s="559">
        <v>44.58</v>
      </c>
      <c r="BJ13" s="560">
        <v>47.28</v>
      </c>
      <c r="BK13" s="561">
        <v>34.229999999999997</v>
      </c>
      <c r="BL13" s="562">
        <v>10.8</v>
      </c>
      <c r="BM13" s="562">
        <v>13.5</v>
      </c>
      <c r="BN13" s="559">
        <v>45.03</v>
      </c>
      <c r="BO13" s="560">
        <v>47.73</v>
      </c>
      <c r="BP13" s="561">
        <v>34.69</v>
      </c>
      <c r="BQ13" s="562">
        <v>10.8</v>
      </c>
      <c r="BR13" s="562">
        <v>13.5</v>
      </c>
      <c r="BS13" s="559">
        <v>45.49</v>
      </c>
      <c r="BT13" s="560">
        <v>48.19</v>
      </c>
      <c r="BU13" s="561">
        <v>35.14</v>
      </c>
      <c r="BV13" s="562">
        <v>10.8</v>
      </c>
      <c r="BW13" s="562">
        <v>13.5</v>
      </c>
      <c r="BX13" s="559">
        <v>45.94</v>
      </c>
      <c r="BY13" s="560">
        <v>48.64</v>
      </c>
      <c r="BZ13" s="561">
        <v>35.590000000000003</v>
      </c>
      <c r="CA13" s="562">
        <v>10.8</v>
      </c>
      <c r="CB13" s="562">
        <v>13.5</v>
      </c>
      <c r="CC13" s="559">
        <v>46.39</v>
      </c>
      <c r="CD13" s="560">
        <v>49.09</v>
      </c>
      <c r="CE13" s="561">
        <v>36.04</v>
      </c>
      <c r="CF13" s="562">
        <v>10.8</v>
      </c>
      <c r="CG13" s="562">
        <v>13.5</v>
      </c>
      <c r="CH13" s="559">
        <v>46.84</v>
      </c>
      <c r="CI13" s="560">
        <v>49.54</v>
      </c>
      <c r="CJ13" s="4">
        <v>36.49</v>
      </c>
      <c r="CK13" s="4">
        <v>10.8</v>
      </c>
      <c r="CL13" s="4">
        <v>13.5</v>
      </c>
      <c r="CM13" s="4">
        <v>47.29</v>
      </c>
      <c r="CN13" s="4">
        <v>49.99</v>
      </c>
      <c r="CO13" s="4">
        <v>36.94</v>
      </c>
      <c r="CP13" s="4">
        <v>10.8</v>
      </c>
      <c r="CQ13" s="4">
        <v>13.5</v>
      </c>
      <c r="CR13" s="4">
        <v>47.74</v>
      </c>
      <c r="CS13" s="4">
        <v>50.44</v>
      </c>
      <c r="CT13" s="4">
        <v>37.39</v>
      </c>
      <c r="CU13" s="4">
        <v>10.8</v>
      </c>
      <c r="CV13" s="4">
        <v>13.5</v>
      </c>
      <c r="CW13" s="4">
        <v>48.19</v>
      </c>
      <c r="CX13" s="4">
        <v>50.89</v>
      </c>
      <c r="CY13" s="4">
        <v>37.840000000000003</v>
      </c>
      <c r="CZ13" s="4">
        <v>10.8</v>
      </c>
      <c r="DA13" s="4">
        <v>13.5</v>
      </c>
      <c r="DB13" s="4">
        <v>48.64</v>
      </c>
      <c r="DC13" s="4">
        <v>51.34</v>
      </c>
      <c r="DD13" s="4">
        <v>38.29</v>
      </c>
      <c r="DE13" s="4">
        <v>10.8</v>
      </c>
      <c r="DF13" s="4">
        <v>13.5</v>
      </c>
      <c r="DG13" s="4">
        <v>49.09</v>
      </c>
      <c r="DH13" s="4">
        <v>51.79</v>
      </c>
      <c r="DI13" s="4">
        <v>38.74</v>
      </c>
      <c r="DJ13" s="4">
        <v>10.8</v>
      </c>
      <c r="DK13" s="4">
        <v>13.5</v>
      </c>
      <c r="DL13" s="4">
        <v>49.54</v>
      </c>
      <c r="DM13" s="4">
        <v>52.24</v>
      </c>
      <c r="DN13" s="4">
        <v>39.19</v>
      </c>
      <c r="DO13" s="4">
        <v>10.8</v>
      </c>
      <c r="DP13" s="4">
        <v>13.5</v>
      </c>
      <c r="DQ13" s="4">
        <v>49.99</v>
      </c>
      <c r="DR13" s="4">
        <v>52.69</v>
      </c>
      <c r="DS13" s="4">
        <v>39.64</v>
      </c>
      <c r="DT13" s="4">
        <v>10.8</v>
      </c>
      <c r="DU13" s="4">
        <v>13.5</v>
      </c>
      <c r="DV13" s="4">
        <v>50.44</v>
      </c>
      <c r="DW13" s="4">
        <v>53.14</v>
      </c>
    </row>
    <row r="14" spans="1:127" ht="21.75">
      <c r="A14" s="9">
        <v>3</v>
      </c>
      <c r="B14" s="11" t="s">
        <v>65</v>
      </c>
      <c r="C14" s="57"/>
      <c r="D14" s="22"/>
      <c r="E14" s="22"/>
      <c r="F14" s="22"/>
      <c r="G14" s="22"/>
      <c r="H14" s="22"/>
      <c r="J14" s="9">
        <v>3</v>
      </c>
      <c r="K14" s="11" t="s">
        <v>65</v>
      </c>
      <c r="L14" s="63"/>
      <c r="M14" s="1371"/>
      <c r="N14" s="1372"/>
      <c r="O14" s="1372"/>
      <c r="P14" s="1372"/>
      <c r="Q14" s="1373"/>
      <c r="R14" s="1392"/>
      <c r="S14" s="1393"/>
      <c r="T14" s="1393"/>
      <c r="U14" s="1393"/>
      <c r="V14" s="1394"/>
      <c r="W14" s="561"/>
      <c r="X14" s="562"/>
      <c r="Y14" s="562"/>
      <c r="Z14" s="562"/>
      <c r="AA14" s="563"/>
      <c r="AB14" s="561"/>
      <c r="AC14" s="562"/>
      <c r="AD14" s="562"/>
      <c r="AE14" s="562"/>
      <c r="AF14" s="563"/>
      <c r="AG14" s="561"/>
      <c r="AH14" s="562"/>
      <c r="AI14" s="562"/>
      <c r="AJ14" s="562"/>
      <c r="AK14" s="563"/>
      <c r="AL14" s="561"/>
      <c r="AM14" s="562"/>
      <c r="AN14" s="562"/>
      <c r="AO14" s="562"/>
      <c r="AP14" s="563"/>
      <c r="AQ14" s="561"/>
      <c r="AR14" s="562"/>
      <c r="AS14" s="562"/>
      <c r="AT14" s="562"/>
      <c r="AU14" s="563"/>
      <c r="AV14" s="561"/>
      <c r="AW14" s="562"/>
      <c r="AX14" s="562"/>
      <c r="AY14" s="562"/>
      <c r="AZ14" s="563"/>
      <c r="BA14" s="561"/>
      <c r="BB14" s="562"/>
      <c r="BC14" s="562"/>
      <c r="BD14" s="562"/>
      <c r="BE14" s="563"/>
      <c r="BF14" s="561"/>
      <c r="BG14" s="562"/>
      <c r="BH14" s="562"/>
      <c r="BI14" s="562"/>
      <c r="BJ14" s="563"/>
      <c r="BK14" s="561"/>
      <c r="BL14" s="562"/>
      <c r="BM14" s="562"/>
      <c r="BN14" s="562"/>
      <c r="BO14" s="563"/>
      <c r="BP14" s="561"/>
      <c r="BQ14" s="562"/>
      <c r="BR14" s="562"/>
      <c r="BS14" s="562"/>
      <c r="BT14" s="563"/>
      <c r="BU14" s="561"/>
      <c r="BV14" s="562"/>
      <c r="BW14" s="562"/>
      <c r="BX14" s="562"/>
      <c r="BY14" s="563"/>
      <c r="BZ14" s="561"/>
      <c r="CA14" s="562"/>
      <c r="CB14" s="562"/>
      <c r="CC14" s="562"/>
      <c r="CD14" s="563"/>
      <c r="CE14" s="561"/>
      <c r="CF14" s="562"/>
      <c r="CG14" s="562"/>
      <c r="CH14" s="562"/>
      <c r="CI14" s="563"/>
    </row>
    <row r="15" spans="1:127" ht="21.75">
      <c r="A15" s="9"/>
      <c r="B15" s="11" t="s">
        <v>66</v>
      </c>
      <c r="C15" s="57" t="s">
        <v>67</v>
      </c>
      <c r="D15" s="22">
        <f t="shared" si="0"/>
        <v>16.899999999999999</v>
      </c>
      <c r="E15" s="22">
        <f t="shared" si="1"/>
        <v>3.06</v>
      </c>
      <c r="F15" s="22">
        <f t="shared" si="2"/>
        <v>3.83</v>
      </c>
      <c r="G15" s="22">
        <f t="shared" si="3"/>
        <v>19.96</v>
      </c>
      <c r="H15" s="22">
        <f t="shared" si="4"/>
        <v>20.73</v>
      </c>
      <c r="J15" s="9"/>
      <c r="K15" s="11" t="s">
        <v>66</v>
      </c>
      <c r="L15" s="63" t="s">
        <v>67</v>
      </c>
      <c r="M15" s="1371"/>
      <c r="N15" s="1372"/>
      <c r="O15" s="1372"/>
      <c r="P15" s="1369"/>
      <c r="Q15" s="1370"/>
      <c r="R15" s="1392">
        <v>16.34</v>
      </c>
      <c r="S15" s="1393">
        <v>3.06</v>
      </c>
      <c r="T15" s="1393">
        <v>3.83</v>
      </c>
      <c r="U15" s="1390">
        <f t="shared" ref="U15:U20" si="5">R15+S15</f>
        <v>19.399999999999999</v>
      </c>
      <c r="V15" s="1391">
        <f t="shared" ref="V15:V20" si="6">R15+T15</f>
        <v>20.170000000000002</v>
      </c>
      <c r="W15" s="561">
        <v>16.53</v>
      </c>
      <c r="X15" s="562">
        <v>3.06</v>
      </c>
      <c r="Y15" s="562">
        <v>3.83</v>
      </c>
      <c r="Z15" s="559">
        <v>19.59</v>
      </c>
      <c r="AA15" s="560">
        <v>20.36</v>
      </c>
      <c r="AB15" s="561">
        <v>16.72</v>
      </c>
      <c r="AC15" s="562">
        <v>3.06</v>
      </c>
      <c r="AD15" s="562">
        <v>3.83</v>
      </c>
      <c r="AE15" s="559">
        <v>19.78</v>
      </c>
      <c r="AF15" s="560">
        <v>20.55</v>
      </c>
      <c r="AG15" s="561">
        <v>16.899999999999999</v>
      </c>
      <c r="AH15" s="562">
        <v>3.06</v>
      </c>
      <c r="AI15" s="562">
        <v>3.83</v>
      </c>
      <c r="AJ15" s="559">
        <v>19.96</v>
      </c>
      <c r="AK15" s="560">
        <v>20.73</v>
      </c>
      <c r="AL15" s="561">
        <v>17.09</v>
      </c>
      <c r="AM15" s="562">
        <v>3.06</v>
      </c>
      <c r="AN15" s="562">
        <v>3.83</v>
      </c>
      <c r="AO15" s="559">
        <v>20.149999999999999</v>
      </c>
      <c r="AP15" s="560">
        <v>20.92</v>
      </c>
      <c r="AQ15" s="561">
        <v>17.28</v>
      </c>
      <c r="AR15" s="562">
        <v>3.06</v>
      </c>
      <c r="AS15" s="562">
        <v>3.83</v>
      </c>
      <c r="AT15" s="559">
        <v>20.34</v>
      </c>
      <c r="AU15" s="560">
        <v>21.11</v>
      </c>
      <c r="AV15" s="561">
        <v>17.47</v>
      </c>
      <c r="AW15" s="562">
        <v>3.06</v>
      </c>
      <c r="AX15" s="562">
        <v>3.83</v>
      </c>
      <c r="AY15" s="559">
        <v>20.53</v>
      </c>
      <c r="AZ15" s="560">
        <v>21.3</v>
      </c>
      <c r="BA15" s="561">
        <v>17.649999999999999</v>
      </c>
      <c r="BB15" s="562">
        <v>3.06</v>
      </c>
      <c r="BC15" s="562">
        <v>3.83</v>
      </c>
      <c r="BD15" s="559">
        <v>20.71</v>
      </c>
      <c r="BE15" s="560">
        <v>21.48</v>
      </c>
      <c r="BF15" s="561">
        <v>17.84</v>
      </c>
      <c r="BG15" s="562">
        <v>3.06</v>
      </c>
      <c r="BH15" s="562">
        <v>3.83</v>
      </c>
      <c r="BI15" s="559">
        <v>20.9</v>
      </c>
      <c r="BJ15" s="560">
        <v>21.67</v>
      </c>
      <c r="BK15" s="561">
        <v>18.03</v>
      </c>
      <c r="BL15" s="562">
        <v>3.06</v>
      </c>
      <c r="BM15" s="562">
        <v>3.83</v>
      </c>
      <c r="BN15" s="559">
        <v>21.09</v>
      </c>
      <c r="BO15" s="560">
        <v>21.86</v>
      </c>
      <c r="BP15" s="561">
        <v>18.22</v>
      </c>
      <c r="BQ15" s="562">
        <v>3.06</v>
      </c>
      <c r="BR15" s="562">
        <v>3.83</v>
      </c>
      <c r="BS15" s="559">
        <v>21.28</v>
      </c>
      <c r="BT15" s="560">
        <v>22.05</v>
      </c>
      <c r="BU15" s="561">
        <v>18.41</v>
      </c>
      <c r="BV15" s="562">
        <v>3.06</v>
      </c>
      <c r="BW15" s="562">
        <v>3.83</v>
      </c>
      <c r="BX15" s="559">
        <v>21.47</v>
      </c>
      <c r="BY15" s="560">
        <v>22.24</v>
      </c>
      <c r="BZ15" s="561">
        <v>18.59</v>
      </c>
      <c r="CA15" s="562">
        <v>3.06</v>
      </c>
      <c r="CB15" s="562">
        <v>3.83</v>
      </c>
      <c r="CC15" s="559">
        <v>21.65</v>
      </c>
      <c r="CD15" s="560">
        <v>22.42</v>
      </c>
      <c r="CE15" s="561">
        <v>18.78</v>
      </c>
      <c r="CF15" s="562">
        <v>3.06</v>
      </c>
      <c r="CG15" s="562">
        <v>3.83</v>
      </c>
      <c r="CH15" s="559">
        <v>21.84</v>
      </c>
      <c r="CI15" s="560">
        <v>22.61</v>
      </c>
      <c r="CJ15" s="4">
        <v>18.97</v>
      </c>
      <c r="CK15" s="4">
        <v>3.06</v>
      </c>
      <c r="CL15" s="4">
        <v>3.83</v>
      </c>
      <c r="CM15" s="4">
        <v>22.03</v>
      </c>
      <c r="CN15" s="4">
        <v>22.8</v>
      </c>
      <c r="CO15" s="4">
        <v>19.16</v>
      </c>
      <c r="CP15" s="4">
        <v>3.06</v>
      </c>
      <c r="CQ15" s="4">
        <v>3.83</v>
      </c>
      <c r="CR15" s="4">
        <v>22.22</v>
      </c>
      <c r="CS15" s="4">
        <v>22.99</v>
      </c>
      <c r="CT15" s="4">
        <v>19.350000000000001</v>
      </c>
      <c r="CU15" s="4">
        <v>3.06</v>
      </c>
      <c r="CV15" s="4">
        <v>3.83</v>
      </c>
      <c r="CW15" s="4">
        <v>22.41</v>
      </c>
      <c r="CX15" s="4">
        <v>23.18</v>
      </c>
      <c r="CY15" s="4">
        <v>19.53</v>
      </c>
      <c r="CZ15" s="4">
        <v>3.06</v>
      </c>
      <c r="DA15" s="4">
        <v>3.83</v>
      </c>
      <c r="DB15" s="4">
        <v>22.59</v>
      </c>
      <c r="DC15" s="4">
        <v>23.36</v>
      </c>
      <c r="DD15" s="4">
        <v>19.72</v>
      </c>
      <c r="DE15" s="4">
        <v>3.06</v>
      </c>
      <c r="DF15" s="4">
        <v>3.83</v>
      </c>
      <c r="DG15" s="4">
        <v>22.78</v>
      </c>
      <c r="DH15" s="4">
        <v>23.55</v>
      </c>
      <c r="DI15" s="4">
        <v>19.91</v>
      </c>
      <c r="DJ15" s="4">
        <v>3.06</v>
      </c>
      <c r="DK15" s="4">
        <v>3.83</v>
      </c>
      <c r="DL15" s="4">
        <v>22.97</v>
      </c>
      <c r="DM15" s="4">
        <v>23.74</v>
      </c>
      <c r="DN15" s="4">
        <v>20.100000000000001</v>
      </c>
      <c r="DO15" s="4">
        <v>3.06</v>
      </c>
      <c r="DP15" s="4">
        <v>3.83</v>
      </c>
      <c r="DQ15" s="4">
        <v>23.16</v>
      </c>
      <c r="DR15" s="4">
        <v>23.93</v>
      </c>
      <c r="DS15" s="4">
        <v>20.28</v>
      </c>
      <c r="DT15" s="4">
        <v>3.06</v>
      </c>
      <c r="DU15" s="4">
        <v>3.83</v>
      </c>
      <c r="DV15" s="4">
        <v>23.34</v>
      </c>
      <c r="DW15" s="4">
        <v>24.11</v>
      </c>
    </row>
    <row r="16" spans="1:127" ht="21.75">
      <c r="A16" s="9"/>
      <c r="B16" s="11" t="s">
        <v>68</v>
      </c>
      <c r="C16" s="57" t="s">
        <v>62</v>
      </c>
      <c r="D16" s="22">
        <f t="shared" si="0"/>
        <v>5.93</v>
      </c>
      <c r="E16" s="22">
        <f t="shared" si="1"/>
        <v>1.7</v>
      </c>
      <c r="F16" s="22">
        <f t="shared" si="2"/>
        <v>2.13</v>
      </c>
      <c r="G16" s="22">
        <f t="shared" si="3"/>
        <v>7.63</v>
      </c>
      <c r="H16" s="22">
        <f t="shared" si="4"/>
        <v>8.06</v>
      </c>
      <c r="J16" s="9"/>
      <c r="K16" s="11" t="s">
        <v>68</v>
      </c>
      <c r="L16" s="63" t="s">
        <v>62</v>
      </c>
      <c r="M16" s="1371"/>
      <c r="N16" s="1372"/>
      <c r="O16" s="1372"/>
      <c r="P16" s="1369"/>
      <c r="Q16" s="1370"/>
      <c r="R16" s="1392">
        <v>5.69</v>
      </c>
      <c r="S16" s="1393">
        <v>1.7</v>
      </c>
      <c r="T16" s="1393">
        <v>2.13</v>
      </c>
      <c r="U16" s="1390">
        <f t="shared" si="5"/>
        <v>7.3900000000000006</v>
      </c>
      <c r="V16" s="1391">
        <f t="shared" si="6"/>
        <v>7.82</v>
      </c>
      <c r="W16" s="561">
        <v>5.77</v>
      </c>
      <c r="X16" s="562">
        <v>1.7</v>
      </c>
      <c r="Y16" s="562">
        <v>2.13</v>
      </c>
      <c r="Z16" s="559">
        <v>7.47</v>
      </c>
      <c r="AA16" s="560">
        <v>7.9</v>
      </c>
      <c r="AB16" s="561">
        <v>5.85</v>
      </c>
      <c r="AC16" s="562">
        <v>1.7</v>
      </c>
      <c r="AD16" s="562">
        <v>2.13</v>
      </c>
      <c r="AE16" s="559">
        <v>7.55</v>
      </c>
      <c r="AF16" s="560">
        <v>7.98</v>
      </c>
      <c r="AG16" s="561">
        <v>5.93</v>
      </c>
      <c r="AH16" s="562">
        <v>1.7</v>
      </c>
      <c r="AI16" s="562">
        <v>2.13</v>
      </c>
      <c r="AJ16" s="559">
        <v>7.63</v>
      </c>
      <c r="AK16" s="560">
        <v>8.06</v>
      </c>
      <c r="AL16" s="561">
        <v>6.01</v>
      </c>
      <c r="AM16" s="562">
        <v>1.7</v>
      </c>
      <c r="AN16" s="562">
        <v>2.13</v>
      </c>
      <c r="AO16" s="559">
        <v>7.71</v>
      </c>
      <c r="AP16" s="560">
        <v>8.14</v>
      </c>
      <c r="AQ16" s="561">
        <v>6.1</v>
      </c>
      <c r="AR16" s="562">
        <v>1.7</v>
      </c>
      <c r="AS16" s="562">
        <v>2.13</v>
      </c>
      <c r="AT16" s="559">
        <v>7.8</v>
      </c>
      <c r="AU16" s="560">
        <v>8.23</v>
      </c>
      <c r="AV16" s="561">
        <v>6.18</v>
      </c>
      <c r="AW16" s="562">
        <v>1.7</v>
      </c>
      <c r="AX16" s="562">
        <v>2.13</v>
      </c>
      <c r="AY16" s="559">
        <v>7.88</v>
      </c>
      <c r="AZ16" s="560">
        <v>8.31</v>
      </c>
      <c r="BA16" s="561">
        <v>6.26</v>
      </c>
      <c r="BB16" s="562">
        <v>1.7</v>
      </c>
      <c r="BC16" s="562">
        <v>2.13</v>
      </c>
      <c r="BD16" s="559">
        <v>7.96</v>
      </c>
      <c r="BE16" s="560">
        <v>8.39</v>
      </c>
      <c r="BF16" s="561">
        <v>6.34</v>
      </c>
      <c r="BG16" s="562">
        <v>1.7</v>
      </c>
      <c r="BH16" s="562">
        <v>2.13</v>
      </c>
      <c r="BI16" s="559">
        <v>8.0399999999999991</v>
      </c>
      <c r="BJ16" s="560">
        <v>8.4700000000000006</v>
      </c>
      <c r="BK16" s="561">
        <v>6.42</v>
      </c>
      <c r="BL16" s="562">
        <v>1.7</v>
      </c>
      <c r="BM16" s="562">
        <v>2.13</v>
      </c>
      <c r="BN16" s="559">
        <v>8.1199999999999992</v>
      </c>
      <c r="BO16" s="560">
        <v>8.5500000000000007</v>
      </c>
      <c r="BP16" s="561">
        <v>6.5</v>
      </c>
      <c r="BQ16" s="562">
        <v>1.7</v>
      </c>
      <c r="BR16" s="562">
        <v>2.13</v>
      </c>
      <c r="BS16" s="559">
        <v>8.1999999999999993</v>
      </c>
      <c r="BT16" s="560">
        <v>8.6300000000000008</v>
      </c>
      <c r="BU16" s="561">
        <v>6.58</v>
      </c>
      <c r="BV16" s="562">
        <v>1.7</v>
      </c>
      <c r="BW16" s="562">
        <v>2.13</v>
      </c>
      <c r="BX16" s="559">
        <v>8.2799999999999994</v>
      </c>
      <c r="BY16" s="560">
        <v>8.7100000000000009</v>
      </c>
      <c r="BZ16" s="561">
        <v>6.66</v>
      </c>
      <c r="CA16" s="562">
        <v>1.7</v>
      </c>
      <c r="CB16" s="562">
        <v>2.13</v>
      </c>
      <c r="CC16" s="559">
        <v>8.36</v>
      </c>
      <c r="CD16" s="560">
        <v>8.7899999999999991</v>
      </c>
      <c r="CE16" s="561">
        <v>6.74</v>
      </c>
      <c r="CF16" s="562">
        <v>1.7</v>
      </c>
      <c r="CG16" s="562">
        <v>2.13</v>
      </c>
      <c r="CH16" s="559">
        <v>8.44</v>
      </c>
      <c r="CI16" s="560">
        <v>8.8699999999999992</v>
      </c>
      <c r="CJ16" s="4">
        <v>6.83</v>
      </c>
      <c r="CK16" s="4">
        <v>1.7</v>
      </c>
      <c r="CL16" s="4">
        <v>2.13</v>
      </c>
      <c r="CM16" s="4">
        <v>8.5299999999999994</v>
      </c>
      <c r="CN16" s="4">
        <v>8.9600000000000009</v>
      </c>
      <c r="CO16" s="4">
        <v>6.91</v>
      </c>
      <c r="CP16" s="4">
        <v>1.7</v>
      </c>
      <c r="CQ16" s="4">
        <v>2.13</v>
      </c>
      <c r="CR16" s="4">
        <v>8.61</v>
      </c>
      <c r="CS16" s="4">
        <v>9.0399999999999991</v>
      </c>
      <c r="CT16" s="4">
        <v>6.99</v>
      </c>
      <c r="CU16" s="4">
        <v>1.7</v>
      </c>
      <c r="CV16" s="4">
        <v>2.13</v>
      </c>
      <c r="CW16" s="4">
        <v>8.69</v>
      </c>
      <c r="CX16" s="4">
        <v>9.1199999999999992</v>
      </c>
      <c r="CY16" s="4">
        <v>7.07</v>
      </c>
      <c r="CZ16" s="4">
        <v>1.7</v>
      </c>
      <c r="DA16" s="4">
        <v>2.13</v>
      </c>
      <c r="DB16" s="4">
        <v>8.77</v>
      </c>
      <c r="DC16" s="4">
        <v>9.1999999999999993</v>
      </c>
      <c r="DD16" s="4">
        <v>7.15</v>
      </c>
      <c r="DE16" s="4">
        <v>1.7</v>
      </c>
      <c r="DF16" s="4">
        <v>2.13</v>
      </c>
      <c r="DG16" s="4">
        <v>8.85</v>
      </c>
      <c r="DH16" s="4">
        <v>9.2799999999999994</v>
      </c>
      <c r="DI16" s="4">
        <v>7.23</v>
      </c>
      <c r="DJ16" s="4">
        <v>1.7</v>
      </c>
      <c r="DK16" s="4">
        <v>2.13</v>
      </c>
      <c r="DL16" s="4">
        <v>8.93</v>
      </c>
      <c r="DM16" s="4">
        <v>9.36</v>
      </c>
      <c r="DN16" s="4">
        <v>7.31</v>
      </c>
      <c r="DO16" s="4">
        <v>1.7</v>
      </c>
      <c r="DP16" s="4">
        <v>2.13</v>
      </c>
      <c r="DQ16" s="4">
        <v>9.01</v>
      </c>
      <c r="DR16" s="4">
        <v>9.44</v>
      </c>
      <c r="DS16" s="4">
        <v>7.39</v>
      </c>
      <c r="DT16" s="4">
        <v>1.7</v>
      </c>
      <c r="DU16" s="4">
        <v>2.13</v>
      </c>
      <c r="DV16" s="4">
        <v>9.09</v>
      </c>
      <c r="DW16" s="4">
        <v>9.52</v>
      </c>
    </row>
    <row r="17" spans="1:127" ht="21.75">
      <c r="A17" s="9"/>
      <c r="B17" s="11" t="s">
        <v>69</v>
      </c>
      <c r="C17" s="57" t="s">
        <v>67</v>
      </c>
      <c r="D17" s="22">
        <f t="shared" si="0"/>
        <v>26.24</v>
      </c>
      <c r="E17" s="22">
        <f t="shared" si="1"/>
        <v>3.34</v>
      </c>
      <c r="F17" s="22">
        <f t="shared" si="2"/>
        <v>4.18</v>
      </c>
      <c r="G17" s="22">
        <f t="shared" si="3"/>
        <v>29.58</v>
      </c>
      <c r="H17" s="22">
        <f t="shared" si="4"/>
        <v>30.42</v>
      </c>
      <c r="J17" s="9"/>
      <c r="K17" s="11" t="s">
        <v>69</v>
      </c>
      <c r="L17" s="63" t="s">
        <v>67</v>
      </c>
      <c r="M17" s="1371"/>
      <c r="N17" s="1372"/>
      <c r="O17" s="1372"/>
      <c r="P17" s="1369"/>
      <c r="Q17" s="1370"/>
      <c r="R17" s="1392">
        <v>25.09</v>
      </c>
      <c r="S17" s="1393">
        <v>3.34</v>
      </c>
      <c r="T17" s="1393">
        <v>4.18</v>
      </c>
      <c r="U17" s="1390">
        <f t="shared" si="5"/>
        <v>28.43</v>
      </c>
      <c r="V17" s="1391">
        <f t="shared" si="6"/>
        <v>29.27</v>
      </c>
      <c r="W17" s="561">
        <v>25.47</v>
      </c>
      <c r="X17" s="562">
        <v>3.34</v>
      </c>
      <c r="Y17" s="562">
        <v>4.18</v>
      </c>
      <c r="Z17" s="559">
        <v>28.81</v>
      </c>
      <c r="AA17" s="560">
        <v>29.65</v>
      </c>
      <c r="AB17" s="561">
        <v>25.86</v>
      </c>
      <c r="AC17" s="562">
        <v>3.34</v>
      </c>
      <c r="AD17" s="562">
        <v>4.18</v>
      </c>
      <c r="AE17" s="559">
        <v>29.2</v>
      </c>
      <c r="AF17" s="560">
        <v>30.04</v>
      </c>
      <c r="AG17" s="561">
        <v>26.24</v>
      </c>
      <c r="AH17" s="562">
        <v>3.34</v>
      </c>
      <c r="AI17" s="562">
        <v>4.18</v>
      </c>
      <c r="AJ17" s="559">
        <v>29.58</v>
      </c>
      <c r="AK17" s="560">
        <v>30.42</v>
      </c>
      <c r="AL17" s="561">
        <v>26.63</v>
      </c>
      <c r="AM17" s="562">
        <v>3.34</v>
      </c>
      <c r="AN17" s="562">
        <v>4.18</v>
      </c>
      <c r="AO17" s="559">
        <v>29.97</v>
      </c>
      <c r="AP17" s="560">
        <v>30.81</v>
      </c>
      <c r="AQ17" s="561">
        <v>27.02</v>
      </c>
      <c r="AR17" s="562">
        <v>3.34</v>
      </c>
      <c r="AS17" s="562">
        <v>4.18</v>
      </c>
      <c r="AT17" s="559">
        <v>30.36</v>
      </c>
      <c r="AU17" s="560">
        <v>31.2</v>
      </c>
      <c r="AV17" s="561">
        <v>27.4</v>
      </c>
      <c r="AW17" s="562">
        <v>3.34</v>
      </c>
      <c r="AX17" s="562">
        <v>4.18</v>
      </c>
      <c r="AY17" s="559">
        <v>30.74</v>
      </c>
      <c r="AZ17" s="560">
        <v>31.58</v>
      </c>
      <c r="BA17" s="561">
        <v>27.79</v>
      </c>
      <c r="BB17" s="562">
        <v>3.34</v>
      </c>
      <c r="BC17" s="562">
        <v>4.18</v>
      </c>
      <c r="BD17" s="559">
        <v>31.13</v>
      </c>
      <c r="BE17" s="560">
        <v>31.97</v>
      </c>
      <c r="BF17" s="561">
        <v>28.18</v>
      </c>
      <c r="BG17" s="562">
        <v>3.34</v>
      </c>
      <c r="BH17" s="562">
        <v>4.18</v>
      </c>
      <c r="BI17" s="559">
        <v>31.52</v>
      </c>
      <c r="BJ17" s="560">
        <v>32.36</v>
      </c>
      <c r="BK17" s="561">
        <v>28.56</v>
      </c>
      <c r="BL17" s="562">
        <v>3.34</v>
      </c>
      <c r="BM17" s="562">
        <v>4.18</v>
      </c>
      <c r="BN17" s="559">
        <v>31.9</v>
      </c>
      <c r="BO17" s="560">
        <v>32.74</v>
      </c>
      <c r="BP17" s="561">
        <v>28.95</v>
      </c>
      <c r="BQ17" s="562">
        <v>3.34</v>
      </c>
      <c r="BR17" s="562">
        <v>4.18</v>
      </c>
      <c r="BS17" s="559">
        <v>32.29</v>
      </c>
      <c r="BT17" s="560">
        <v>33.130000000000003</v>
      </c>
      <c r="BU17" s="561">
        <v>29.34</v>
      </c>
      <c r="BV17" s="562">
        <v>3.34</v>
      </c>
      <c r="BW17" s="562">
        <v>4.18</v>
      </c>
      <c r="BX17" s="559">
        <v>32.68</v>
      </c>
      <c r="BY17" s="560">
        <v>33.520000000000003</v>
      </c>
      <c r="BZ17" s="561">
        <v>29.72</v>
      </c>
      <c r="CA17" s="562">
        <v>3.34</v>
      </c>
      <c r="CB17" s="562">
        <v>4.18</v>
      </c>
      <c r="CC17" s="559">
        <v>33.06</v>
      </c>
      <c r="CD17" s="560">
        <v>33.9</v>
      </c>
      <c r="CE17" s="561">
        <v>30.11</v>
      </c>
      <c r="CF17" s="562">
        <v>3.34</v>
      </c>
      <c r="CG17" s="562">
        <v>4.18</v>
      </c>
      <c r="CH17" s="559">
        <v>34.29</v>
      </c>
      <c r="CI17" s="560">
        <v>33.89</v>
      </c>
      <c r="CJ17" s="4">
        <v>30.49</v>
      </c>
      <c r="CK17" s="4">
        <v>3.34</v>
      </c>
      <c r="CL17" s="4">
        <v>4.18</v>
      </c>
      <c r="CM17" s="4">
        <v>33.83</v>
      </c>
      <c r="CN17" s="4">
        <v>34.67</v>
      </c>
      <c r="CO17" s="4">
        <v>30.88</v>
      </c>
      <c r="CP17" s="4">
        <v>3.34</v>
      </c>
      <c r="CQ17" s="4">
        <v>4.18</v>
      </c>
      <c r="CR17" s="4">
        <v>34.22</v>
      </c>
      <c r="CS17" s="4">
        <v>35.06</v>
      </c>
      <c r="CT17" s="4">
        <v>31.27</v>
      </c>
      <c r="CU17" s="4">
        <v>3.34</v>
      </c>
      <c r="CV17" s="4">
        <v>4.18</v>
      </c>
      <c r="CW17" s="4">
        <v>34.61</v>
      </c>
      <c r="CX17" s="4">
        <v>35.450000000000003</v>
      </c>
      <c r="CY17" s="4">
        <v>31.65</v>
      </c>
      <c r="CZ17" s="4">
        <v>3.34</v>
      </c>
      <c r="DA17" s="4">
        <v>4.18</v>
      </c>
      <c r="DB17" s="4">
        <v>34.99</v>
      </c>
      <c r="DC17" s="4">
        <v>35.83</v>
      </c>
      <c r="DD17" s="4">
        <v>32.04</v>
      </c>
      <c r="DE17" s="4">
        <v>3.34</v>
      </c>
      <c r="DF17" s="4">
        <v>4.18</v>
      </c>
      <c r="DG17" s="4">
        <v>35.380000000000003</v>
      </c>
      <c r="DH17" s="4">
        <v>63.22</v>
      </c>
      <c r="DI17" s="4">
        <v>32.43</v>
      </c>
      <c r="DJ17" s="4">
        <v>3.34</v>
      </c>
      <c r="DK17" s="4">
        <v>4.18</v>
      </c>
      <c r="DL17" s="4">
        <v>35.770000000000003</v>
      </c>
      <c r="DM17" s="4">
        <v>36.61</v>
      </c>
      <c r="DN17" s="4">
        <v>32.81</v>
      </c>
      <c r="DO17" s="4">
        <v>3.34</v>
      </c>
      <c r="DP17" s="4">
        <v>4.18</v>
      </c>
      <c r="DQ17" s="4">
        <v>36.15</v>
      </c>
      <c r="DR17" s="4">
        <v>36.99</v>
      </c>
      <c r="DS17" s="4">
        <v>33.200000000000003</v>
      </c>
      <c r="DT17" s="4">
        <v>3.34</v>
      </c>
      <c r="DU17" s="4">
        <v>4.18</v>
      </c>
      <c r="DV17" s="4">
        <v>36.54</v>
      </c>
      <c r="DW17" s="4">
        <v>37.380000000000003</v>
      </c>
    </row>
    <row r="18" spans="1:127" ht="21.75">
      <c r="A18" s="9"/>
      <c r="B18" s="11" t="s">
        <v>70</v>
      </c>
      <c r="C18" s="57" t="s">
        <v>62</v>
      </c>
      <c r="D18" s="22">
        <f t="shared" si="0"/>
        <v>31.59</v>
      </c>
      <c r="E18" s="22">
        <f t="shared" si="1"/>
        <v>5.18</v>
      </c>
      <c r="F18" s="22">
        <f t="shared" si="2"/>
        <v>6.48</v>
      </c>
      <c r="G18" s="22">
        <f t="shared" si="3"/>
        <v>36.770000000000003</v>
      </c>
      <c r="H18" s="22">
        <f t="shared" si="4"/>
        <v>38.07</v>
      </c>
      <c r="J18" s="9"/>
      <c r="K18" s="11" t="s">
        <v>70</v>
      </c>
      <c r="L18" s="63" t="s">
        <v>62</v>
      </c>
      <c r="M18" s="1371"/>
      <c r="N18" s="1372"/>
      <c r="O18" s="1372"/>
      <c r="P18" s="1369"/>
      <c r="Q18" s="1370"/>
      <c r="R18" s="1392">
        <v>30.25</v>
      </c>
      <c r="S18" s="1393">
        <v>5.18</v>
      </c>
      <c r="T18" s="1393">
        <v>6.48</v>
      </c>
      <c r="U18" s="1390">
        <f t="shared" si="5"/>
        <v>35.43</v>
      </c>
      <c r="V18" s="1391">
        <f t="shared" si="6"/>
        <v>36.730000000000004</v>
      </c>
      <c r="W18" s="561">
        <v>30.7</v>
      </c>
      <c r="X18" s="562">
        <v>5.18</v>
      </c>
      <c r="Y18" s="562">
        <v>6.48</v>
      </c>
      <c r="Z18" s="559">
        <v>35.880000000000003</v>
      </c>
      <c r="AA18" s="560">
        <v>37.18</v>
      </c>
      <c r="AB18" s="561">
        <v>31.15</v>
      </c>
      <c r="AC18" s="562">
        <v>5.18</v>
      </c>
      <c r="AD18" s="562">
        <v>6.48</v>
      </c>
      <c r="AE18" s="559">
        <v>36.33</v>
      </c>
      <c r="AF18" s="560">
        <v>37.630000000000003</v>
      </c>
      <c r="AG18" s="561">
        <v>31.59</v>
      </c>
      <c r="AH18" s="562">
        <v>5.18</v>
      </c>
      <c r="AI18" s="562">
        <v>6.48</v>
      </c>
      <c r="AJ18" s="559">
        <v>36.770000000000003</v>
      </c>
      <c r="AK18" s="560">
        <v>38.07</v>
      </c>
      <c r="AL18" s="561">
        <v>32.04</v>
      </c>
      <c r="AM18" s="562">
        <v>5.18</v>
      </c>
      <c r="AN18" s="562">
        <v>6.48</v>
      </c>
      <c r="AO18" s="559">
        <v>37.22</v>
      </c>
      <c r="AP18" s="560">
        <v>38.520000000000003</v>
      </c>
      <c r="AQ18" s="561">
        <v>32.49</v>
      </c>
      <c r="AR18" s="562">
        <v>5.18</v>
      </c>
      <c r="AS18" s="562">
        <v>6.48</v>
      </c>
      <c r="AT18" s="559">
        <v>37.67</v>
      </c>
      <c r="AU18" s="560">
        <v>38.97</v>
      </c>
      <c r="AV18" s="561">
        <v>32.94</v>
      </c>
      <c r="AW18" s="562">
        <v>5.18</v>
      </c>
      <c r="AX18" s="562">
        <v>6.48</v>
      </c>
      <c r="AY18" s="559">
        <v>38.119999999999997</v>
      </c>
      <c r="AZ18" s="560">
        <v>39.42</v>
      </c>
      <c r="BA18" s="561">
        <v>33.39</v>
      </c>
      <c r="BB18" s="562">
        <v>5.18</v>
      </c>
      <c r="BC18" s="562">
        <v>6.48</v>
      </c>
      <c r="BD18" s="559">
        <v>38.57</v>
      </c>
      <c r="BE18" s="560">
        <v>39.869999999999997</v>
      </c>
      <c r="BF18" s="561">
        <v>33.840000000000003</v>
      </c>
      <c r="BG18" s="562">
        <v>5.18</v>
      </c>
      <c r="BH18" s="562">
        <v>6.48</v>
      </c>
      <c r="BI18" s="559">
        <v>39.020000000000003</v>
      </c>
      <c r="BJ18" s="560">
        <v>40.32</v>
      </c>
      <c r="BK18" s="561">
        <v>34.28</v>
      </c>
      <c r="BL18" s="562">
        <v>5.18</v>
      </c>
      <c r="BM18" s="562">
        <v>6.48</v>
      </c>
      <c r="BN18" s="559">
        <v>39.46</v>
      </c>
      <c r="BO18" s="560">
        <v>40.76</v>
      </c>
      <c r="BP18" s="561">
        <v>34.729999999999997</v>
      </c>
      <c r="BQ18" s="562">
        <v>5.18</v>
      </c>
      <c r="BR18" s="562">
        <v>6.48</v>
      </c>
      <c r="BS18" s="559">
        <v>39.909999999999997</v>
      </c>
      <c r="BT18" s="560">
        <v>41.21</v>
      </c>
      <c r="BU18" s="561">
        <v>35.18</v>
      </c>
      <c r="BV18" s="562">
        <v>5.18</v>
      </c>
      <c r="BW18" s="562">
        <v>6.48</v>
      </c>
      <c r="BX18" s="559">
        <v>40.36</v>
      </c>
      <c r="BY18" s="560">
        <v>41.66</v>
      </c>
      <c r="BZ18" s="561">
        <v>36.630000000000003</v>
      </c>
      <c r="CA18" s="562">
        <v>5.18</v>
      </c>
      <c r="CB18" s="562">
        <v>6.48</v>
      </c>
      <c r="CC18" s="559">
        <v>40.81</v>
      </c>
      <c r="CD18" s="560">
        <v>42.11</v>
      </c>
      <c r="CE18" s="561">
        <v>36.08</v>
      </c>
      <c r="CF18" s="562">
        <v>5.18</v>
      </c>
      <c r="CG18" s="562">
        <v>6.48</v>
      </c>
      <c r="CH18" s="559">
        <v>41.26</v>
      </c>
      <c r="CI18" s="560">
        <v>42.56</v>
      </c>
      <c r="CJ18" s="4">
        <v>36.53</v>
      </c>
      <c r="CK18" s="4">
        <v>5.18</v>
      </c>
      <c r="CL18" s="4">
        <v>6.48</v>
      </c>
      <c r="CM18" s="4">
        <v>41.71</v>
      </c>
      <c r="CN18" s="4">
        <v>43.01</v>
      </c>
      <c r="CO18" s="4">
        <v>36.979999999999997</v>
      </c>
      <c r="CP18" s="4">
        <v>5.18</v>
      </c>
      <c r="CQ18" s="4">
        <v>6.48</v>
      </c>
      <c r="CR18" s="4">
        <v>42.16</v>
      </c>
      <c r="CS18" s="4">
        <v>43.46</v>
      </c>
      <c r="CT18" s="4">
        <v>37.42</v>
      </c>
      <c r="CU18" s="4">
        <v>5.18</v>
      </c>
      <c r="CV18" s="4">
        <v>6.48</v>
      </c>
      <c r="CW18" s="4">
        <v>42.6</v>
      </c>
      <c r="CX18" s="4">
        <v>43.9</v>
      </c>
      <c r="CY18" s="4">
        <v>37.869999999999997</v>
      </c>
      <c r="CZ18" s="4">
        <v>5.18</v>
      </c>
      <c r="DA18" s="4">
        <v>6.48</v>
      </c>
      <c r="DB18" s="4">
        <v>43.05</v>
      </c>
      <c r="DC18" s="4">
        <v>44.35</v>
      </c>
      <c r="DD18" s="4">
        <v>38.32</v>
      </c>
      <c r="DE18" s="4">
        <v>5.18</v>
      </c>
      <c r="DF18" s="4">
        <v>6.48</v>
      </c>
      <c r="DG18" s="4">
        <v>43.5</v>
      </c>
      <c r="DH18" s="4">
        <v>44.8</v>
      </c>
      <c r="DI18" s="4">
        <v>38.770000000000003</v>
      </c>
      <c r="DJ18" s="4">
        <v>5.18</v>
      </c>
      <c r="DK18" s="4">
        <v>6.48</v>
      </c>
      <c r="DL18" s="4">
        <v>43.95</v>
      </c>
      <c r="DM18" s="4">
        <v>45.25</v>
      </c>
      <c r="DN18" s="4">
        <v>39.22</v>
      </c>
      <c r="DO18" s="4">
        <v>5.18</v>
      </c>
      <c r="DP18" s="4">
        <v>6.48</v>
      </c>
      <c r="DQ18" s="4">
        <v>44.4</v>
      </c>
      <c r="DR18" s="4">
        <v>45.7</v>
      </c>
      <c r="DS18" s="4">
        <v>39.67</v>
      </c>
      <c r="DT18" s="4">
        <v>5.18</v>
      </c>
      <c r="DU18" s="4">
        <v>6.48</v>
      </c>
      <c r="DV18" s="4">
        <v>44.85</v>
      </c>
      <c r="DW18" s="4">
        <v>46.15</v>
      </c>
    </row>
    <row r="19" spans="1:127" ht="21.75">
      <c r="A19" s="9"/>
      <c r="B19" s="11" t="s">
        <v>71</v>
      </c>
      <c r="C19" s="57" t="s">
        <v>67</v>
      </c>
      <c r="D19" s="22">
        <f t="shared" si="0"/>
        <v>59.45</v>
      </c>
      <c r="E19" s="22">
        <f t="shared" si="1"/>
        <v>4.66</v>
      </c>
      <c r="F19" s="22">
        <f t="shared" si="2"/>
        <v>5.83</v>
      </c>
      <c r="G19" s="22">
        <f t="shared" si="3"/>
        <v>64.11</v>
      </c>
      <c r="H19" s="22">
        <f t="shared" si="4"/>
        <v>65.28</v>
      </c>
      <c r="J19" s="9"/>
      <c r="K19" s="11" t="s">
        <v>71</v>
      </c>
      <c r="L19" s="63" t="s">
        <v>67</v>
      </c>
      <c r="M19" s="1371"/>
      <c r="N19" s="1372"/>
      <c r="O19" s="1372"/>
      <c r="P19" s="1369"/>
      <c r="Q19" s="1370"/>
      <c r="R19" s="1392">
        <v>58.15</v>
      </c>
      <c r="S19" s="1393">
        <v>4.66</v>
      </c>
      <c r="T19" s="1393">
        <v>5.83</v>
      </c>
      <c r="U19" s="1390">
        <f t="shared" si="5"/>
        <v>62.81</v>
      </c>
      <c r="V19" s="1391">
        <f t="shared" si="6"/>
        <v>63.98</v>
      </c>
      <c r="W19" s="561">
        <v>58.58</v>
      </c>
      <c r="X19" s="562">
        <v>4.66</v>
      </c>
      <c r="Y19" s="562">
        <v>5.83</v>
      </c>
      <c r="Z19" s="559">
        <v>63.24</v>
      </c>
      <c r="AA19" s="560">
        <v>64.41</v>
      </c>
      <c r="AB19" s="561">
        <v>59.01</v>
      </c>
      <c r="AC19" s="562">
        <v>4.66</v>
      </c>
      <c r="AD19" s="562">
        <v>5.83</v>
      </c>
      <c r="AE19" s="559">
        <v>63.67</v>
      </c>
      <c r="AF19" s="560">
        <v>64.84</v>
      </c>
      <c r="AG19" s="561">
        <v>59.45</v>
      </c>
      <c r="AH19" s="562">
        <v>4.66</v>
      </c>
      <c r="AI19" s="562">
        <v>5.83</v>
      </c>
      <c r="AJ19" s="559">
        <v>64.11</v>
      </c>
      <c r="AK19" s="560">
        <v>65.28</v>
      </c>
      <c r="AL19" s="561">
        <v>59.88</v>
      </c>
      <c r="AM19" s="562">
        <v>4.66</v>
      </c>
      <c r="AN19" s="562">
        <v>5.83</v>
      </c>
      <c r="AO19" s="559">
        <v>64.540000000000006</v>
      </c>
      <c r="AP19" s="560">
        <v>65.709999999999994</v>
      </c>
      <c r="AQ19" s="561">
        <v>60.31</v>
      </c>
      <c r="AR19" s="562">
        <v>4.66</v>
      </c>
      <c r="AS19" s="562">
        <v>5.83</v>
      </c>
      <c r="AT19" s="559">
        <v>64.97</v>
      </c>
      <c r="AU19" s="560">
        <v>66.14</v>
      </c>
      <c r="AV19" s="561">
        <v>60.74</v>
      </c>
      <c r="AW19" s="562">
        <v>4.66</v>
      </c>
      <c r="AX19" s="562">
        <v>5.83</v>
      </c>
      <c r="AY19" s="559">
        <v>65.400000000000006</v>
      </c>
      <c r="AZ19" s="560">
        <v>66.569999999999993</v>
      </c>
      <c r="BA19" s="561">
        <v>61.18</v>
      </c>
      <c r="BB19" s="562">
        <v>4.66</v>
      </c>
      <c r="BC19" s="562">
        <v>5.83</v>
      </c>
      <c r="BD19" s="559">
        <v>65.84</v>
      </c>
      <c r="BE19" s="560">
        <v>67.010000000000005</v>
      </c>
      <c r="BF19" s="561">
        <v>61.61</v>
      </c>
      <c r="BG19" s="562">
        <v>4.66</v>
      </c>
      <c r="BH19" s="562">
        <v>5.83</v>
      </c>
      <c r="BI19" s="559">
        <v>66.27</v>
      </c>
      <c r="BJ19" s="560">
        <v>67.44</v>
      </c>
      <c r="BK19" s="561">
        <v>62.04</v>
      </c>
      <c r="BL19" s="562">
        <v>4.66</v>
      </c>
      <c r="BM19" s="562">
        <v>5.83</v>
      </c>
      <c r="BN19" s="559">
        <v>66.7</v>
      </c>
      <c r="BO19" s="560">
        <v>67.87</v>
      </c>
      <c r="BP19" s="561">
        <v>62.47</v>
      </c>
      <c r="BQ19" s="562">
        <v>4.66</v>
      </c>
      <c r="BR19" s="562">
        <v>5.83</v>
      </c>
      <c r="BS19" s="559">
        <v>67.13</v>
      </c>
      <c r="BT19" s="560">
        <v>68.3</v>
      </c>
      <c r="BU19" s="561">
        <v>62.91</v>
      </c>
      <c r="BV19" s="562">
        <v>4.66</v>
      </c>
      <c r="BW19" s="562">
        <v>5.83</v>
      </c>
      <c r="BX19" s="559">
        <v>67.569999999999993</v>
      </c>
      <c r="BY19" s="560">
        <v>68.739999999999995</v>
      </c>
      <c r="BZ19" s="561">
        <v>63.34</v>
      </c>
      <c r="CA19" s="562">
        <v>4.66</v>
      </c>
      <c r="CB19" s="562">
        <v>5.83</v>
      </c>
      <c r="CC19" s="559">
        <v>68</v>
      </c>
      <c r="CD19" s="560">
        <v>69.17</v>
      </c>
      <c r="CE19" s="561">
        <v>63.77</v>
      </c>
      <c r="CF19" s="562">
        <v>4.66</v>
      </c>
      <c r="CG19" s="562">
        <v>5.83</v>
      </c>
      <c r="CH19" s="559">
        <v>68.430000000000007</v>
      </c>
      <c r="CI19" s="560">
        <v>69.599999999999994</v>
      </c>
      <c r="CJ19" s="4">
        <v>65.2</v>
      </c>
      <c r="CK19" s="4">
        <v>4.66</v>
      </c>
      <c r="CL19" s="4">
        <v>5.83</v>
      </c>
      <c r="CM19" s="4">
        <v>68.86</v>
      </c>
      <c r="CN19" s="4">
        <v>70.03</v>
      </c>
      <c r="CO19" s="4">
        <v>64.64</v>
      </c>
      <c r="CP19" s="4">
        <v>4.66</v>
      </c>
      <c r="CQ19" s="4">
        <v>5.83</v>
      </c>
      <c r="CR19" s="4">
        <v>69.3</v>
      </c>
      <c r="CS19" s="4">
        <v>70.47</v>
      </c>
      <c r="CT19" s="4">
        <v>65.069999999999993</v>
      </c>
      <c r="CU19" s="4">
        <v>4.66</v>
      </c>
      <c r="CV19" s="4">
        <v>5.83</v>
      </c>
      <c r="CW19" s="4">
        <v>69.73</v>
      </c>
      <c r="CX19" s="4">
        <v>70.900000000000006</v>
      </c>
      <c r="CY19" s="4">
        <v>65.5</v>
      </c>
      <c r="CZ19" s="4">
        <v>4.66</v>
      </c>
      <c r="DA19" s="4">
        <v>5.83</v>
      </c>
      <c r="DB19" s="4">
        <v>70.16</v>
      </c>
      <c r="DC19" s="4">
        <v>71.33</v>
      </c>
      <c r="DD19" s="4">
        <v>65.930000000000007</v>
      </c>
      <c r="DE19" s="4">
        <v>4.66</v>
      </c>
      <c r="DF19" s="4">
        <v>5.83</v>
      </c>
      <c r="DG19" s="4">
        <v>70.59</v>
      </c>
      <c r="DH19" s="4">
        <v>71.760000000000005</v>
      </c>
      <c r="DI19" s="4">
        <v>66.37</v>
      </c>
      <c r="DJ19" s="4">
        <v>4.66</v>
      </c>
      <c r="DK19" s="4">
        <v>5.83</v>
      </c>
      <c r="DL19" s="4">
        <v>71.03</v>
      </c>
      <c r="DM19" s="4">
        <v>72.2</v>
      </c>
      <c r="DN19" s="4">
        <v>66.8</v>
      </c>
      <c r="DO19" s="4">
        <v>4.66</v>
      </c>
      <c r="DP19" s="4">
        <v>5.83</v>
      </c>
      <c r="DQ19" s="4">
        <v>71.459999999999994</v>
      </c>
      <c r="DR19" s="4">
        <v>72.63</v>
      </c>
      <c r="DS19" s="4">
        <v>67.23</v>
      </c>
      <c r="DT19" s="4">
        <v>4.66</v>
      </c>
      <c r="DU19" s="4">
        <v>5.83</v>
      </c>
      <c r="DV19" s="4">
        <v>71.89</v>
      </c>
      <c r="DW19" s="4">
        <v>73.06</v>
      </c>
    </row>
    <row r="20" spans="1:127" ht="21.75">
      <c r="A20" s="9"/>
      <c r="B20" s="11" t="s">
        <v>70</v>
      </c>
      <c r="C20" s="57" t="s">
        <v>62</v>
      </c>
      <c r="D20" s="22">
        <f t="shared" si="0"/>
        <v>50.11</v>
      </c>
      <c r="E20" s="22">
        <f t="shared" si="1"/>
        <v>19</v>
      </c>
      <c r="F20" s="22">
        <f t="shared" si="2"/>
        <v>23.75</v>
      </c>
      <c r="G20" s="22">
        <f t="shared" si="3"/>
        <v>69.11</v>
      </c>
      <c r="H20" s="22">
        <f t="shared" si="4"/>
        <v>73.86</v>
      </c>
      <c r="J20" s="9"/>
      <c r="K20" s="11" t="s">
        <v>70</v>
      </c>
      <c r="L20" s="63" t="s">
        <v>62</v>
      </c>
      <c r="M20" s="1371"/>
      <c r="N20" s="1372"/>
      <c r="O20" s="1372"/>
      <c r="P20" s="1369"/>
      <c r="Q20" s="1370"/>
      <c r="R20" s="1392">
        <v>47.26</v>
      </c>
      <c r="S20" s="1393">
        <v>19</v>
      </c>
      <c r="T20" s="1393">
        <v>23.75</v>
      </c>
      <c r="U20" s="1390">
        <f t="shared" si="5"/>
        <v>66.259999999999991</v>
      </c>
      <c r="V20" s="1391">
        <f t="shared" si="6"/>
        <v>71.009999999999991</v>
      </c>
      <c r="W20" s="561">
        <v>48.21</v>
      </c>
      <c r="X20" s="562">
        <v>19</v>
      </c>
      <c r="Y20" s="562">
        <v>23.75</v>
      </c>
      <c r="Z20" s="559">
        <v>67.209999999999994</v>
      </c>
      <c r="AA20" s="560">
        <v>71.959999999999994</v>
      </c>
      <c r="AB20" s="561">
        <v>49.16</v>
      </c>
      <c r="AC20" s="562">
        <v>19</v>
      </c>
      <c r="AD20" s="562">
        <v>23.75</v>
      </c>
      <c r="AE20" s="559">
        <v>68.16</v>
      </c>
      <c r="AF20" s="560">
        <v>72.91</v>
      </c>
      <c r="AG20" s="561">
        <v>50.11</v>
      </c>
      <c r="AH20" s="562">
        <v>19</v>
      </c>
      <c r="AI20" s="562">
        <v>23.75</v>
      </c>
      <c r="AJ20" s="559">
        <v>69.11</v>
      </c>
      <c r="AK20" s="560">
        <v>73.86</v>
      </c>
      <c r="AL20" s="561">
        <v>51.05</v>
      </c>
      <c r="AM20" s="562">
        <v>19</v>
      </c>
      <c r="AN20" s="562">
        <v>23.75</v>
      </c>
      <c r="AO20" s="559">
        <v>70.05</v>
      </c>
      <c r="AP20" s="560">
        <v>74.8</v>
      </c>
      <c r="AQ20" s="561">
        <v>52</v>
      </c>
      <c r="AR20" s="562">
        <v>19</v>
      </c>
      <c r="AS20" s="562">
        <v>23.75</v>
      </c>
      <c r="AT20" s="559">
        <v>71</v>
      </c>
      <c r="AU20" s="560">
        <v>75.75</v>
      </c>
      <c r="AV20" s="561">
        <v>52.95</v>
      </c>
      <c r="AW20" s="562">
        <v>19</v>
      </c>
      <c r="AX20" s="562">
        <v>23.75</v>
      </c>
      <c r="AY20" s="559">
        <v>71.95</v>
      </c>
      <c r="AZ20" s="560">
        <v>76.7</v>
      </c>
      <c r="BA20" s="561">
        <v>53.9</v>
      </c>
      <c r="BB20" s="562">
        <v>19</v>
      </c>
      <c r="BC20" s="562">
        <v>23.75</v>
      </c>
      <c r="BD20" s="559">
        <v>72.900000000000006</v>
      </c>
      <c r="BE20" s="560">
        <v>77.650000000000006</v>
      </c>
      <c r="BF20" s="561">
        <v>54.85</v>
      </c>
      <c r="BG20" s="562">
        <v>19</v>
      </c>
      <c r="BH20" s="562">
        <v>23.75</v>
      </c>
      <c r="BI20" s="559">
        <v>73.849999999999994</v>
      </c>
      <c r="BJ20" s="560">
        <v>78.599999999999994</v>
      </c>
      <c r="BK20" s="561">
        <v>55.79</v>
      </c>
      <c r="BL20" s="562">
        <v>19</v>
      </c>
      <c r="BM20" s="562">
        <v>23.75</v>
      </c>
      <c r="BN20" s="559">
        <v>74.790000000000006</v>
      </c>
      <c r="BO20" s="560">
        <v>79.540000000000006</v>
      </c>
      <c r="BP20" s="561">
        <v>56.74</v>
      </c>
      <c r="BQ20" s="562">
        <v>19</v>
      </c>
      <c r="BR20" s="562">
        <v>23.75</v>
      </c>
      <c r="BS20" s="559">
        <v>75.739999999999995</v>
      </c>
      <c r="BT20" s="560">
        <v>80.489999999999995</v>
      </c>
      <c r="BU20" s="561">
        <v>57.69</v>
      </c>
      <c r="BV20" s="562">
        <v>19</v>
      </c>
      <c r="BW20" s="562">
        <v>23.75</v>
      </c>
      <c r="BX20" s="559">
        <v>76.69</v>
      </c>
      <c r="BY20" s="560">
        <v>81.44</v>
      </c>
      <c r="BZ20" s="561">
        <v>58.64</v>
      </c>
      <c r="CA20" s="562">
        <v>19</v>
      </c>
      <c r="CB20" s="562">
        <v>23.75</v>
      </c>
      <c r="CC20" s="559">
        <v>77.64</v>
      </c>
      <c r="CD20" s="560">
        <v>82.39</v>
      </c>
      <c r="CE20" s="561">
        <v>59.58</v>
      </c>
      <c r="CF20" s="562">
        <v>19</v>
      </c>
      <c r="CG20" s="562">
        <v>23.75</v>
      </c>
      <c r="CH20" s="559">
        <v>78.58</v>
      </c>
      <c r="CI20" s="560">
        <v>83.33</v>
      </c>
      <c r="CJ20" s="4">
        <v>60.53</v>
      </c>
      <c r="CK20" s="4">
        <v>19</v>
      </c>
      <c r="CL20" s="4">
        <v>23.75</v>
      </c>
      <c r="CM20" s="4">
        <v>79.53</v>
      </c>
      <c r="CN20" s="4">
        <v>84.28</v>
      </c>
      <c r="CO20" s="4">
        <v>59.58</v>
      </c>
      <c r="CP20" s="4">
        <v>19</v>
      </c>
      <c r="CQ20" s="4">
        <v>23.75</v>
      </c>
      <c r="CR20" s="4">
        <v>78.58</v>
      </c>
      <c r="CS20" s="4">
        <v>83.33</v>
      </c>
      <c r="CT20" s="4">
        <v>62.43</v>
      </c>
      <c r="CU20" s="4">
        <v>19</v>
      </c>
      <c r="CV20" s="4">
        <v>23.75</v>
      </c>
      <c r="CW20" s="4">
        <v>81.430000000000007</v>
      </c>
      <c r="CX20" s="4">
        <v>86.18</v>
      </c>
      <c r="CY20" s="4">
        <v>63.37</v>
      </c>
      <c r="CZ20" s="4">
        <v>19</v>
      </c>
      <c r="DA20" s="4">
        <v>23.75</v>
      </c>
      <c r="DB20" s="4">
        <v>82.37</v>
      </c>
      <c r="DC20" s="4">
        <v>87.12</v>
      </c>
      <c r="DD20" s="4">
        <v>64.319999999999993</v>
      </c>
      <c r="DE20" s="4">
        <v>19</v>
      </c>
      <c r="DF20" s="4">
        <v>23.75</v>
      </c>
      <c r="DG20" s="4">
        <v>83.32</v>
      </c>
      <c r="DH20" s="4">
        <v>88.07</v>
      </c>
      <c r="DI20" s="4">
        <v>65.27</v>
      </c>
      <c r="DJ20" s="4">
        <v>19</v>
      </c>
      <c r="DK20" s="4">
        <v>23.75</v>
      </c>
      <c r="DL20" s="4">
        <v>84.27</v>
      </c>
      <c r="DM20" s="4">
        <v>89.02</v>
      </c>
      <c r="DN20" s="4">
        <v>66.22</v>
      </c>
      <c r="DO20" s="4">
        <v>19</v>
      </c>
      <c r="DP20" s="4">
        <v>23.75</v>
      </c>
      <c r="DQ20" s="4">
        <v>85.22</v>
      </c>
      <c r="DR20" s="4">
        <v>8.9700000000000006</v>
      </c>
      <c r="DS20" s="4">
        <v>67.16</v>
      </c>
      <c r="DT20" s="4">
        <v>19</v>
      </c>
      <c r="DU20" s="4">
        <v>23.75</v>
      </c>
      <c r="DV20" s="4">
        <v>86.16</v>
      </c>
      <c r="DW20" s="4">
        <v>90.91</v>
      </c>
    </row>
    <row r="21" spans="1:127" ht="21.75">
      <c r="A21" s="9">
        <v>4</v>
      </c>
      <c r="B21" s="11" t="s">
        <v>72</v>
      </c>
      <c r="C21" s="57"/>
      <c r="D21" s="22"/>
      <c r="E21" s="22"/>
      <c r="F21" s="22"/>
      <c r="G21" s="22"/>
      <c r="H21" s="22"/>
      <c r="J21" s="9">
        <v>4</v>
      </c>
      <c r="K21" s="11" t="s">
        <v>72</v>
      </c>
      <c r="L21" s="63"/>
      <c r="M21" s="1371"/>
      <c r="N21" s="1372"/>
      <c r="O21" s="1372"/>
      <c r="P21" s="1372"/>
      <c r="Q21" s="1373"/>
      <c r="R21" s="1392"/>
      <c r="S21" s="1393"/>
      <c r="T21" s="1393"/>
      <c r="U21" s="1393"/>
      <c r="V21" s="1394"/>
      <c r="W21" s="561"/>
      <c r="X21" s="562"/>
      <c r="Y21" s="562"/>
      <c r="Z21" s="562"/>
      <c r="AA21" s="563"/>
      <c r="AB21" s="561"/>
      <c r="AC21" s="562"/>
      <c r="AD21" s="562"/>
      <c r="AE21" s="562"/>
      <c r="AF21" s="563"/>
      <c r="AG21" s="561"/>
      <c r="AH21" s="562"/>
      <c r="AI21" s="562"/>
      <c r="AJ21" s="562"/>
      <c r="AK21" s="563"/>
      <c r="AL21" s="561"/>
      <c r="AM21" s="562"/>
      <c r="AN21" s="562"/>
      <c r="AO21" s="562"/>
      <c r="AP21" s="563"/>
      <c r="AQ21" s="561"/>
      <c r="AR21" s="562"/>
      <c r="AS21" s="562"/>
      <c r="AT21" s="562"/>
      <c r="AU21" s="563"/>
      <c r="AV21" s="561"/>
      <c r="AW21" s="562"/>
      <c r="AX21" s="562"/>
      <c r="AY21" s="562"/>
      <c r="AZ21" s="563"/>
      <c r="BA21" s="561"/>
      <c r="BB21" s="562"/>
      <c r="BC21" s="562"/>
      <c r="BD21" s="562"/>
      <c r="BE21" s="563"/>
      <c r="BF21" s="561"/>
      <c r="BG21" s="562"/>
      <c r="BH21" s="562"/>
      <c r="BI21" s="562"/>
      <c r="BJ21" s="563"/>
      <c r="BK21" s="561"/>
      <c r="BL21" s="562"/>
      <c r="BM21" s="562"/>
      <c r="BN21" s="562"/>
      <c r="BO21" s="563"/>
      <c r="BP21" s="561"/>
      <c r="BQ21" s="562"/>
      <c r="BR21" s="562"/>
      <c r="BS21" s="562"/>
      <c r="BT21" s="563"/>
      <c r="BU21" s="561"/>
      <c r="BV21" s="562"/>
      <c r="BW21" s="562"/>
      <c r="BX21" s="562"/>
      <c r="BY21" s="563"/>
      <c r="BZ21" s="561" t="s">
        <v>1786</v>
      </c>
      <c r="CA21" s="562"/>
      <c r="CB21" s="562"/>
      <c r="CC21" s="562"/>
      <c r="CD21" s="563"/>
      <c r="CE21" s="561"/>
      <c r="CF21" s="562"/>
      <c r="CG21" s="562"/>
      <c r="CH21" s="562"/>
      <c r="CI21" s="563"/>
    </row>
    <row r="22" spans="1:127" ht="21.75">
      <c r="A22" s="9"/>
      <c r="B22" s="11" t="s">
        <v>61</v>
      </c>
      <c r="C22" s="57" t="s">
        <v>62</v>
      </c>
      <c r="D22" s="22">
        <f t="shared" si="0"/>
        <v>23.12</v>
      </c>
      <c r="E22" s="22">
        <f t="shared" si="1"/>
        <v>6.52</v>
      </c>
      <c r="F22" s="22">
        <f t="shared" si="2"/>
        <v>8.15</v>
      </c>
      <c r="G22" s="22">
        <f t="shared" si="3"/>
        <v>29.64</v>
      </c>
      <c r="H22" s="22">
        <f t="shared" si="4"/>
        <v>31.27</v>
      </c>
      <c r="J22" s="9"/>
      <c r="K22" s="11" t="s">
        <v>61</v>
      </c>
      <c r="L22" s="63" t="s">
        <v>62</v>
      </c>
      <c r="M22" s="1371"/>
      <c r="N22" s="1372"/>
      <c r="O22" s="1372"/>
      <c r="P22" s="1369"/>
      <c r="Q22" s="1370"/>
      <c r="R22" s="1392">
        <v>22.21</v>
      </c>
      <c r="S22" s="1393">
        <v>6.52</v>
      </c>
      <c r="T22" s="1393">
        <v>8.15</v>
      </c>
      <c r="U22" s="1390">
        <f>R22+S22</f>
        <v>28.73</v>
      </c>
      <c r="V22" s="1391">
        <f>R22+T22</f>
        <v>30.36</v>
      </c>
      <c r="W22" s="561">
        <v>22.52</v>
      </c>
      <c r="X22" s="562">
        <v>6.52</v>
      </c>
      <c r="Y22" s="562">
        <v>8.15</v>
      </c>
      <c r="Z22" s="559">
        <v>29.04</v>
      </c>
      <c r="AA22" s="560">
        <v>30.67</v>
      </c>
      <c r="AB22" s="561">
        <v>22.82</v>
      </c>
      <c r="AC22" s="562">
        <v>6.52</v>
      </c>
      <c r="AD22" s="562">
        <v>8.15</v>
      </c>
      <c r="AE22" s="559">
        <v>29.34</v>
      </c>
      <c r="AF22" s="560">
        <v>30.97</v>
      </c>
      <c r="AG22" s="561">
        <v>23.12</v>
      </c>
      <c r="AH22" s="562">
        <v>6.52</v>
      </c>
      <c r="AI22" s="562">
        <v>8.15</v>
      </c>
      <c r="AJ22" s="559">
        <v>29.64</v>
      </c>
      <c r="AK22" s="560">
        <v>31.27</v>
      </c>
      <c r="AL22" s="561">
        <v>23.43</v>
      </c>
      <c r="AM22" s="562">
        <v>6.52</v>
      </c>
      <c r="AN22" s="562">
        <v>8.15</v>
      </c>
      <c r="AO22" s="559">
        <v>29.95</v>
      </c>
      <c r="AP22" s="560">
        <v>31.58</v>
      </c>
      <c r="AQ22" s="561">
        <v>23.73</v>
      </c>
      <c r="AR22" s="562">
        <v>6.52</v>
      </c>
      <c r="AS22" s="562">
        <v>8.15</v>
      </c>
      <c r="AT22" s="559">
        <v>30.25</v>
      </c>
      <c r="AU22" s="560">
        <v>31.88</v>
      </c>
      <c r="AV22" s="561">
        <v>24.04</v>
      </c>
      <c r="AW22" s="562">
        <v>6.52</v>
      </c>
      <c r="AX22" s="562">
        <v>8.15</v>
      </c>
      <c r="AY22" s="559">
        <v>30.56</v>
      </c>
      <c r="AZ22" s="560">
        <v>32.19</v>
      </c>
      <c r="BA22" s="561">
        <v>24.34</v>
      </c>
      <c r="BB22" s="562">
        <v>6.52</v>
      </c>
      <c r="BC22" s="562">
        <v>8.15</v>
      </c>
      <c r="BD22" s="559">
        <v>30.86</v>
      </c>
      <c r="BE22" s="560">
        <v>32.49</v>
      </c>
      <c r="BF22" s="561">
        <v>24.64</v>
      </c>
      <c r="BG22" s="562">
        <v>6.52</v>
      </c>
      <c r="BH22" s="562">
        <v>8.15</v>
      </c>
      <c r="BI22" s="559">
        <v>31.16</v>
      </c>
      <c r="BJ22" s="560">
        <v>32.79</v>
      </c>
      <c r="BK22" s="561">
        <v>24.95</v>
      </c>
      <c r="BL22" s="562">
        <v>6.52</v>
      </c>
      <c r="BM22" s="562">
        <v>8.15</v>
      </c>
      <c r="BN22" s="559">
        <v>31.47</v>
      </c>
      <c r="BO22" s="560">
        <v>33.1</v>
      </c>
      <c r="BP22" s="561">
        <v>25.25</v>
      </c>
      <c r="BQ22" s="562">
        <v>6.52</v>
      </c>
      <c r="BR22" s="562">
        <v>8.15</v>
      </c>
      <c r="BS22" s="559">
        <v>31.77</v>
      </c>
      <c r="BT22" s="560">
        <v>33.4</v>
      </c>
      <c r="BU22" s="561">
        <v>25.55</v>
      </c>
      <c r="BV22" s="562">
        <v>6.52</v>
      </c>
      <c r="BW22" s="562">
        <v>8.15</v>
      </c>
      <c r="BX22" s="559">
        <v>32.07</v>
      </c>
      <c r="BY22" s="560">
        <v>33.700000000000003</v>
      </c>
      <c r="BZ22" s="561">
        <v>25.86</v>
      </c>
      <c r="CA22" s="562">
        <v>6.52</v>
      </c>
      <c r="CB22" s="562">
        <v>8.15</v>
      </c>
      <c r="CC22" s="559">
        <v>32.380000000000003</v>
      </c>
      <c r="CD22" s="560">
        <v>34.01</v>
      </c>
      <c r="CE22" s="561">
        <v>26.16</v>
      </c>
      <c r="CF22" s="562">
        <v>6.52</v>
      </c>
      <c r="CG22" s="562">
        <v>8.15</v>
      </c>
      <c r="CH22" s="559">
        <v>32.68</v>
      </c>
      <c r="CI22" s="560">
        <v>34.31</v>
      </c>
      <c r="CJ22" s="4">
        <v>26.47</v>
      </c>
      <c r="CK22" s="4">
        <v>6.52</v>
      </c>
      <c r="CL22" s="4">
        <v>8.15</v>
      </c>
      <c r="CM22" s="4">
        <v>32.99</v>
      </c>
      <c r="CN22" s="4">
        <v>34.619999999999997</v>
      </c>
      <c r="CO22" s="4">
        <v>26.77</v>
      </c>
      <c r="CP22" s="4">
        <v>6.52</v>
      </c>
      <c r="CQ22" s="4">
        <v>8.15</v>
      </c>
      <c r="CR22" s="4">
        <v>33.29</v>
      </c>
      <c r="CS22" s="4">
        <v>34.92</v>
      </c>
      <c r="CT22" s="4">
        <v>27.07</v>
      </c>
      <c r="CU22" s="4">
        <v>6.52</v>
      </c>
      <c r="CV22" s="4">
        <v>8.15</v>
      </c>
      <c r="CW22" s="4">
        <v>33.590000000000003</v>
      </c>
      <c r="CX22" s="4">
        <v>35.22</v>
      </c>
      <c r="CY22" s="4">
        <v>27.38</v>
      </c>
      <c r="CZ22" s="4">
        <v>6.52</v>
      </c>
      <c r="DA22" s="4">
        <v>8.15</v>
      </c>
      <c r="DB22" s="4">
        <v>33.9</v>
      </c>
      <c r="DC22" s="4">
        <v>35.53</v>
      </c>
      <c r="DD22" s="4">
        <v>27.68</v>
      </c>
      <c r="DE22" s="4">
        <v>6.52</v>
      </c>
      <c r="DF22" s="4">
        <v>8.15</v>
      </c>
      <c r="DG22" s="4">
        <v>34.200000000000003</v>
      </c>
      <c r="DH22" s="4">
        <v>35.83</v>
      </c>
      <c r="DI22" s="4">
        <v>27.98</v>
      </c>
      <c r="DJ22" s="4">
        <v>6.52</v>
      </c>
      <c r="DK22" s="4">
        <v>8.15</v>
      </c>
      <c r="DL22" s="4">
        <v>34.5</v>
      </c>
      <c r="DM22" s="4">
        <v>36.130000000000003</v>
      </c>
      <c r="DN22" s="4">
        <v>28.29</v>
      </c>
      <c r="DO22" s="4">
        <v>6.52</v>
      </c>
      <c r="DP22" s="4">
        <v>8.15</v>
      </c>
      <c r="DQ22" s="4">
        <v>34.81</v>
      </c>
      <c r="DR22" s="4">
        <v>36.44</v>
      </c>
      <c r="DS22" s="4">
        <v>25.59</v>
      </c>
      <c r="DT22" s="4">
        <v>6.52</v>
      </c>
      <c r="DU22" s="4">
        <v>8.15</v>
      </c>
      <c r="DV22" s="4">
        <v>35.11</v>
      </c>
      <c r="DW22" s="4">
        <v>36.74</v>
      </c>
    </row>
    <row r="23" spans="1:127" ht="21.75">
      <c r="A23" s="9"/>
      <c r="B23" s="11" t="s">
        <v>73</v>
      </c>
      <c r="C23" s="57" t="s">
        <v>64</v>
      </c>
      <c r="D23" s="22">
        <f t="shared" si="0"/>
        <v>7.63</v>
      </c>
      <c r="E23" s="22">
        <f t="shared" si="1"/>
        <v>1.46</v>
      </c>
      <c r="F23" s="22">
        <f t="shared" si="2"/>
        <v>1.83</v>
      </c>
      <c r="G23" s="22">
        <f t="shared" si="3"/>
        <v>9.09</v>
      </c>
      <c r="H23" s="22">
        <f t="shared" si="4"/>
        <v>9.4600000000000009</v>
      </c>
      <c r="J23" s="9"/>
      <c r="K23" s="11" t="s">
        <v>73</v>
      </c>
      <c r="L23" s="63" t="s">
        <v>64</v>
      </c>
      <c r="M23" s="1371"/>
      <c r="N23" s="1372"/>
      <c r="O23" s="1372"/>
      <c r="P23" s="1369"/>
      <c r="Q23" s="1370"/>
      <c r="R23" s="1392">
        <v>7.39</v>
      </c>
      <c r="S23" s="1393">
        <v>1.46</v>
      </c>
      <c r="T23" s="1393">
        <v>1.83</v>
      </c>
      <c r="U23" s="1390">
        <f>R23+S23</f>
        <v>8.85</v>
      </c>
      <c r="V23" s="1391">
        <f>R23+T23</f>
        <v>9.2199999999999989</v>
      </c>
      <c r="W23" s="561">
        <v>7.47</v>
      </c>
      <c r="X23" s="562">
        <v>1.46</v>
      </c>
      <c r="Y23" s="562">
        <v>1.83</v>
      </c>
      <c r="Z23" s="559">
        <v>8.93</v>
      </c>
      <c r="AA23" s="560">
        <v>9.3000000000000007</v>
      </c>
      <c r="AB23" s="561">
        <v>7.55</v>
      </c>
      <c r="AC23" s="562">
        <v>1.46</v>
      </c>
      <c r="AD23" s="562">
        <v>1.83</v>
      </c>
      <c r="AE23" s="559">
        <v>9.01</v>
      </c>
      <c r="AF23" s="560">
        <v>9.3800000000000008</v>
      </c>
      <c r="AG23" s="561">
        <v>7.63</v>
      </c>
      <c r="AH23" s="562">
        <v>1.46</v>
      </c>
      <c r="AI23" s="562">
        <v>1.83</v>
      </c>
      <c r="AJ23" s="559">
        <v>9.09</v>
      </c>
      <c r="AK23" s="560">
        <v>9.4600000000000009</v>
      </c>
      <c r="AL23" s="561">
        <v>7.72</v>
      </c>
      <c r="AM23" s="562">
        <v>1.46</v>
      </c>
      <c r="AN23" s="562">
        <v>1.83</v>
      </c>
      <c r="AO23" s="559">
        <v>9.18</v>
      </c>
      <c r="AP23" s="560">
        <v>9.5500000000000007</v>
      </c>
      <c r="AQ23" s="561">
        <v>7.8</v>
      </c>
      <c r="AR23" s="562">
        <v>1.46</v>
      </c>
      <c r="AS23" s="562">
        <v>1.83</v>
      </c>
      <c r="AT23" s="559">
        <v>9.26</v>
      </c>
      <c r="AU23" s="560">
        <v>9.6300000000000008</v>
      </c>
      <c r="AV23" s="561">
        <v>7.88</v>
      </c>
      <c r="AW23" s="562">
        <v>1.46</v>
      </c>
      <c r="AX23" s="562">
        <v>1.83</v>
      </c>
      <c r="AY23" s="559">
        <v>9.34</v>
      </c>
      <c r="AZ23" s="560">
        <v>9.7100000000000009</v>
      </c>
      <c r="BA23" s="561">
        <v>7.96</v>
      </c>
      <c r="BB23" s="562">
        <v>1.46</v>
      </c>
      <c r="BC23" s="562">
        <v>1.83</v>
      </c>
      <c r="BD23" s="559">
        <v>9.42</v>
      </c>
      <c r="BE23" s="560">
        <v>9.7899999999999991</v>
      </c>
      <c r="BF23" s="561">
        <v>8.0500000000000007</v>
      </c>
      <c r="BG23" s="562">
        <v>1.46</v>
      </c>
      <c r="BH23" s="562">
        <v>1.83</v>
      </c>
      <c r="BI23" s="559">
        <v>9.51</v>
      </c>
      <c r="BJ23" s="560">
        <v>9.8800000000000008</v>
      </c>
      <c r="BK23" s="561">
        <v>8.1300000000000008</v>
      </c>
      <c r="BL23" s="562">
        <v>1.46</v>
      </c>
      <c r="BM23" s="562" t="s">
        <v>1818</v>
      </c>
      <c r="BN23" s="559">
        <v>9.59</v>
      </c>
      <c r="BO23" s="560">
        <v>9.9600000000000009</v>
      </c>
      <c r="BP23" s="561">
        <v>8.2100000000000009</v>
      </c>
      <c r="BQ23" s="562">
        <v>1.46</v>
      </c>
      <c r="BR23" s="562">
        <v>1.83</v>
      </c>
      <c r="BS23" s="559">
        <v>9.67</v>
      </c>
      <c r="BT23" s="560">
        <v>10.039999999999999</v>
      </c>
      <c r="BU23" s="561">
        <v>8.3000000000000007</v>
      </c>
      <c r="BV23" s="562">
        <v>1.46</v>
      </c>
      <c r="BW23" s="562">
        <v>1.83</v>
      </c>
      <c r="BX23" s="559">
        <v>9.76</v>
      </c>
      <c r="BY23" s="560">
        <v>10.130000000000001</v>
      </c>
      <c r="BZ23" s="561">
        <v>8.3800000000000008</v>
      </c>
      <c r="CA23" s="562">
        <v>1.46</v>
      </c>
      <c r="CB23" s="562">
        <v>1.83</v>
      </c>
      <c r="CC23" s="559">
        <v>9.84</v>
      </c>
      <c r="CD23" s="560">
        <v>10.210000000000001</v>
      </c>
      <c r="CE23" s="561">
        <v>8.4600000000000009</v>
      </c>
      <c r="CF23" s="562">
        <v>1.46</v>
      </c>
      <c r="CG23" s="562">
        <v>1.83</v>
      </c>
      <c r="CH23" s="559">
        <v>9.92</v>
      </c>
      <c r="CI23" s="560">
        <v>10.29</v>
      </c>
      <c r="CJ23" s="4">
        <v>8.5399999999999991</v>
      </c>
      <c r="CK23" s="4">
        <v>1.46</v>
      </c>
      <c r="CL23" s="4">
        <v>1.83</v>
      </c>
      <c r="CM23" s="4">
        <v>10</v>
      </c>
      <c r="CN23" s="4">
        <v>10.37</v>
      </c>
      <c r="CO23" s="4">
        <v>8.6300000000000008</v>
      </c>
      <c r="CP23" s="4">
        <v>1.46</v>
      </c>
      <c r="CQ23" s="4">
        <v>1.83</v>
      </c>
      <c r="CR23" s="4">
        <v>10.09</v>
      </c>
      <c r="CS23" s="4">
        <v>10.46</v>
      </c>
      <c r="CT23" s="4">
        <v>8.7100000000000009</v>
      </c>
      <c r="CU23" s="4">
        <v>1.46</v>
      </c>
      <c r="CV23" s="4">
        <v>1.83</v>
      </c>
      <c r="CW23" s="4">
        <v>10.17</v>
      </c>
      <c r="CX23" s="4">
        <v>10.54</v>
      </c>
      <c r="CY23" s="4">
        <v>3.79</v>
      </c>
      <c r="CZ23" s="4">
        <v>1.46</v>
      </c>
      <c r="DA23" s="4">
        <v>1.83</v>
      </c>
      <c r="DB23" s="4">
        <v>10.25</v>
      </c>
      <c r="DC23" s="4">
        <v>10.62</v>
      </c>
      <c r="DD23" s="4">
        <v>8.8800000000000008</v>
      </c>
      <c r="DE23" s="4">
        <v>1.46</v>
      </c>
      <c r="DF23" s="4">
        <v>1.83</v>
      </c>
      <c r="DG23" s="4">
        <v>10.34</v>
      </c>
      <c r="DH23" s="4">
        <v>10.71</v>
      </c>
      <c r="DI23" s="4">
        <v>8.9600000000000009</v>
      </c>
      <c r="DJ23" s="4">
        <v>1.46</v>
      </c>
      <c r="DK23" s="4">
        <v>1.83</v>
      </c>
      <c r="DL23" s="4">
        <v>10.42</v>
      </c>
      <c r="DM23" s="4">
        <v>10.79</v>
      </c>
      <c r="DN23" s="4">
        <v>9.0399999999999991</v>
      </c>
      <c r="DO23" s="4">
        <v>1.46</v>
      </c>
      <c r="DP23" s="4">
        <v>1.83</v>
      </c>
      <c r="DQ23" s="4">
        <v>10.5</v>
      </c>
      <c r="DR23" s="4">
        <v>10.87</v>
      </c>
      <c r="DS23" s="4">
        <v>9.1199999999999992</v>
      </c>
      <c r="DT23" s="4">
        <v>1.46</v>
      </c>
      <c r="DU23" s="4">
        <v>1.83</v>
      </c>
      <c r="DV23" s="4">
        <v>10.58</v>
      </c>
      <c r="DW23" s="4">
        <v>10.95</v>
      </c>
    </row>
    <row r="24" spans="1:127" ht="21.75">
      <c r="A24" s="9"/>
      <c r="B24" s="11" t="s">
        <v>63</v>
      </c>
      <c r="C24" s="57" t="s">
        <v>64</v>
      </c>
      <c r="D24" s="22">
        <f t="shared" si="0"/>
        <v>37.840000000000003</v>
      </c>
      <c r="E24" s="22">
        <f t="shared" si="1"/>
        <v>12.96</v>
      </c>
      <c r="F24" s="22">
        <f t="shared" si="2"/>
        <v>16.2</v>
      </c>
      <c r="G24" s="22">
        <f t="shared" si="3"/>
        <v>50.8</v>
      </c>
      <c r="H24" s="22">
        <f t="shared" si="4"/>
        <v>54.04</v>
      </c>
      <c r="J24" s="9"/>
      <c r="K24" s="11" t="s">
        <v>63</v>
      </c>
      <c r="L24" s="63" t="s">
        <v>64</v>
      </c>
      <c r="M24" s="1371"/>
      <c r="N24" s="1372"/>
      <c r="O24" s="1372"/>
      <c r="P24" s="1369"/>
      <c r="Q24" s="1370"/>
      <c r="R24" s="1392">
        <v>36.21</v>
      </c>
      <c r="S24" s="1393">
        <v>12.96</v>
      </c>
      <c r="T24" s="1393">
        <v>16.2</v>
      </c>
      <c r="U24" s="1390">
        <f>R24+S24</f>
        <v>49.17</v>
      </c>
      <c r="V24" s="1391">
        <f>R24+T24</f>
        <v>52.41</v>
      </c>
      <c r="W24" s="561">
        <v>36.75</v>
      </c>
      <c r="X24" s="562">
        <v>12.96</v>
      </c>
      <c r="Y24" s="562">
        <v>16.2</v>
      </c>
      <c r="Z24" s="559">
        <v>49.71</v>
      </c>
      <c r="AA24" s="560">
        <v>52.95</v>
      </c>
      <c r="AB24" s="561">
        <v>37.29</v>
      </c>
      <c r="AC24" s="562">
        <v>12.96</v>
      </c>
      <c r="AD24" s="562">
        <v>16.2</v>
      </c>
      <c r="AE24" s="559">
        <v>50.25</v>
      </c>
      <c r="AF24" s="560">
        <v>53.49</v>
      </c>
      <c r="AG24" s="561">
        <v>37.840000000000003</v>
      </c>
      <c r="AH24" s="562">
        <v>12.96</v>
      </c>
      <c r="AI24" s="562">
        <v>16.2</v>
      </c>
      <c r="AJ24" s="559">
        <v>50.8</v>
      </c>
      <c r="AK24" s="560">
        <v>54.04</v>
      </c>
      <c r="AL24" s="561">
        <v>38.380000000000003</v>
      </c>
      <c r="AM24" s="562">
        <v>12.96</v>
      </c>
      <c r="AN24" s="562">
        <v>16.2</v>
      </c>
      <c r="AO24" s="559">
        <v>51.34</v>
      </c>
      <c r="AP24" s="560">
        <v>54.58</v>
      </c>
      <c r="AQ24" s="561">
        <v>38.92</v>
      </c>
      <c r="AR24" s="562">
        <v>12.96</v>
      </c>
      <c r="AS24" s="562">
        <v>16.2</v>
      </c>
      <c r="AT24" s="559">
        <v>51.88</v>
      </c>
      <c r="AU24" s="560">
        <v>55.12</v>
      </c>
      <c r="AV24" s="561">
        <v>39.46</v>
      </c>
      <c r="AW24" s="562">
        <v>12.96</v>
      </c>
      <c r="AX24" s="562">
        <v>16.2</v>
      </c>
      <c r="AY24" s="559">
        <v>52.42</v>
      </c>
      <c r="AZ24" s="560">
        <v>55.66</v>
      </c>
      <c r="BA24" s="561">
        <v>40</v>
      </c>
      <c r="BB24" s="562">
        <v>12.96</v>
      </c>
      <c r="BC24" s="562">
        <v>16.2</v>
      </c>
      <c r="BD24" s="559">
        <v>52.96</v>
      </c>
      <c r="BE24" s="560">
        <v>56.2</v>
      </c>
      <c r="BF24" s="561">
        <v>40.54</v>
      </c>
      <c r="BG24" s="562">
        <v>12.96</v>
      </c>
      <c r="BH24" s="562">
        <v>16.2</v>
      </c>
      <c r="BI24" s="559">
        <v>53.5</v>
      </c>
      <c r="BJ24" s="560">
        <v>56.74</v>
      </c>
      <c r="BK24" s="561">
        <v>41.08</v>
      </c>
      <c r="BL24" s="562">
        <v>12.96</v>
      </c>
      <c r="BM24" s="562">
        <v>15.2</v>
      </c>
      <c r="BN24" s="559">
        <v>54.04</v>
      </c>
      <c r="BO24" s="560">
        <v>57.28</v>
      </c>
      <c r="BP24" s="561">
        <v>41.62</v>
      </c>
      <c r="BQ24" s="562">
        <v>12.96</v>
      </c>
      <c r="BR24" s="562">
        <v>16.2</v>
      </c>
      <c r="BS24" s="559">
        <v>54.58</v>
      </c>
      <c r="BT24" s="560">
        <v>57.82</v>
      </c>
      <c r="BU24" s="561">
        <v>42.16</v>
      </c>
      <c r="BV24" s="562">
        <v>12.96</v>
      </c>
      <c r="BW24" s="562">
        <v>16.2</v>
      </c>
      <c r="BX24" s="559">
        <v>55.12</v>
      </c>
      <c r="BY24" s="560">
        <v>58.36</v>
      </c>
      <c r="BZ24" s="561">
        <v>42.7</v>
      </c>
      <c r="CA24" s="562">
        <v>12.96</v>
      </c>
      <c r="CB24" s="562">
        <v>16.2</v>
      </c>
      <c r="CC24" s="559">
        <v>55.66</v>
      </c>
      <c r="CD24" s="560">
        <v>58.9</v>
      </c>
      <c r="CE24" s="561">
        <v>43.25</v>
      </c>
      <c r="CF24" s="562">
        <v>12.96</v>
      </c>
      <c r="CG24" s="562">
        <v>16.2</v>
      </c>
      <c r="CH24" s="559">
        <v>56.21</v>
      </c>
      <c r="CI24" s="560">
        <v>59.45</v>
      </c>
      <c r="CJ24" s="4">
        <v>43.79</v>
      </c>
      <c r="CK24" s="4">
        <v>12.96</v>
      </c>
      <c r="CL24" s="4">
        <v>16.2</v>
      </c>
      <c r="CM24" s="4">
        <v>56.75</v>
      </c>
      <c r="CN24" s="4">
        <v>59.99</v>
      </c>
      <c r="CO24" s="4">
        <v>44.33</v>
      </c>
      <c r="CP24" s="4">
        <v>12.96</v>
      </c>
      <c r="CQ24" s="4">
        <v>16.2</v>
      </c>
      <c r="CR24" s="4">
        <v>57.29</v>
      </c>
      <c r="CS24" s="4">
        <v>60.53</v>
      </c>
      <c r="CT24" s="4">
        <v>44.87</v>
      </c>
      <c r="CU24" s="4">
        <v>12.96</v>
      </c>
      <c r="CV24" s="4">
        <v>16.2</v>
      </c>
      <c r="CW24" s="4">
        <v>57.83</v>
      </c>
      <c r="CX24" s="4">
        <v>61.07</v>
      </c>
      <c r="CY24" s="4">
        <v>45.41</v>
      </c>
      <c r="CZ24" s="4">
        <v>12.96</v>
      </c>
      <c r="DA24" s="4">
        <v>16.2</v>
      </c>
      <c r="DB24" s="4">
        <v>58.37</v>
      </c>
      <c r="DC24" s="4">
        <v>61.61</v>
      </c>
      <c r="DD24" s="4">
        <v>45.95</v>
      </c>
      <c r="DE24" s="4">
        <v>12.96</v>
      </c>
      <c r="DF24" s="4">
        <v>16.2</v>
      </c>
      <c r="DG24" s="4">
        <v>58.91</v>
      </c>
      <c r="DH24" s="4">
        <v>62.15</v>
      </c>
      <c r="DI24" s="4">
        <v>46.49</v>
      </c>
      <c r="DJ24" s="4">
        <v>12.96</v>
      </c>
      <c r="DK24" s="4">
        <v>16.2</v>
      </c>
      <c r="DL24" s="4">
        <v>59.45</v>
      </c>
      <c r="DM24" s="4">
        <v>62.69</v>
      </c>
      <c r="DN24" s="4">
        <v>47.03</v>
      </c>
      <c r="DO24" s="4">
        <v>12.96</v>
      </c>
      <c r="DP24" s="4">
        <v>16.2</v>
      </c>
      <c r="DQ24" s="4">
        <v>59.99</v>
      </c>
      <c r="DR24" s="4">
        <v>63.23</v>
      </c>
      <c r="DS24" s="4">
        <v>47.57</v>
      </c>
      <c r="DT24" s="4">
        <v>12.96</v>
      </c>
      <c r="DU24" s="4">
        <v>16.2</v>
      </c>
      <c r="DV24" s="4">
        <v>60.53</v>
      </c>
      <c r="DW24" s="4">
        <v>63.77</v>
      </c>
    </row>
    <row r="25" spans="1:127" ht="21.75">
      <c r="A25" s="9">
        <v>5</v>
      </c>
      <c r="B25" s="11" t="s">
        <v>74</v>
      </c>
      <c r="C25" s="57"/>
      <c r="D25" s="22"/>
      <c r="E25" s="22"/>
      <c r="F25" s="22"/>
      <c r="G25" s="22"/>
      <c r="H25" s="22"/>
      <c r="J25" s="9">
        <v>5</v>
      </c>
      <c r="K25" s="11" t="s">
        <v>74</v>
      </c>
      <c r="L25" s="63"/>
      <c r="M25" s="1371"/>
      <c r="N25" s="1372"/>
      <c r="O25" s="1372"/>
      <c r="P25" s="1372"/>
      <c r="Q25" s="1373"/>
      <c r="R25" s="1392"/>
      <c r="S25" s="1393"/>
      <c r="T25" s="1393"/>
      <c r="U25" s="1393"/>
      <c r="V25" s="1394"/>
      <c r="W25" s="561"/>
      <c r="X25" s="562"/>
      <c r="Y25" s="562"/>
      <c r="Z25" s="562"/>
      <c r="AA25" s="563"/>
      <c r="AB25" s="561"/>
      <c r="AC25" s="562"/>
      <c r="AD25" s="562"/>
      <c r="AE25" s="562"/>
      <c r="AF25" s="563"/>
      <c r="AG25" s="561"/>
      <c r="AH25" s="562"/>
      <c r="AI25" s="562"/>
      <c r="AJ25" s="562"/>
      <c r="AK25" s="563"/>
      <c r="AL25" s="561"/>
      <c r="AM25" s="562"/>
      <c r="AN25" s="562"/>
      <c r="AO25" s="562"/>
      <c r="AP25" s="563"/>
      <c r="AQ25" s="561"/>
      <c r="AR25" s="562"/>
      <c r="AS25" s="562"/>
      <c r="AT25" s="562"/>
      <c r="AU25" s="563"/>
      <c r="AV25" s="561"/>
      <c r="AW25" s="562"/>
      <c r="AX25" s="562"/>
      <c r="AY25" s="562"/>
      <c r="AZ25" s="563"/>
      <c r="BA25" s="561"/>
      <c r="BB25" s="562"/>
      <c r="BC25" s="562"/>
      <c r="BD25" s="562"/>
      <c r="BE25" s="563"/>
      <c r="BF25" s="561"/>
      <c r="BG25" s="562"/>
      <c r="BH25" s="562"/>
      <c r="BI25" s="562"/>
      <c r="BJ25" s="563"/>
      <c r="BK25" s="561"/>
      <c r="BL25" s="562"/>
      <c r="BM25" s="562"/>
      <c r="BN25" s="562"/>
      <c r="BO25" s="563"/>
      <c r="BP25" s="561"/>
      <c r="BQ25" s="562"/>
      <c r="BR25" s="562"/>
      <c r="BS25" s="562"/>
      <c r="BT25" s="563"/>
      <c r="BU25" s="561"/>
      <c r="BV25" s="562"/>
      <c r="BW25" s="562"/>
      <c r="BX25" s="562"/>
      <c r="BY25" s="563"/>
      <c r="BZ25" s="561"/>
      <c r="CA25" s="562"/>
      <c r="CB25" s="562"/>
      <c r="CC25" s="562"/>
      <c r="CD25" s="563"/>
      <c r="CE25" s="561"/>
      <c r="CF25" s="562"/>
      <c r="CG25" s="562"/>
      <c r="CH25" s="562"/>
      <c r="CI25" s="563"/>
    </row>
    <row r="26" spans="1:127" ht="21.75">
      <c r="A26" s="9"/>
      <c r="B26" s="11" t="s">
        <v>73</v>
      </c>
      <c r="C26" s="57" t="s">
        <v>64</v>
      </c>
      <c r="D26" s="22">
        <f t="shared" si="0"/>
        <v>14.36</v>
      </c>
      <c r="E26" s="22">
        <f t="shared" si="1"/>
        <v>2.75</v>
      </c>
      <c r="F26" s="22">
        <f t="shared" si="2"/>
        <v>3.44</v>
      </c>
      <c r="G26" s="22">
        <f t="shared" si="3"/>
        <v>17.11</v>
      </c>
      <c r="H26" s="22">
        <f t="shared" si="4"/>
        <v>17.8</v>
      </c>
      <c r="J26" s="9"/>
      <c r="K26" s="11" t="s">
        <v>73</v>
      </c>
      <c r="L26" s="63" t="s">
        <v>64</v>
      </c>
      <c r="M26" s="1371"/>
      <c r="N26" s="1372"/>
      <c r="O26" s="1372"/>
      <c r="P26" s="1369"/>
      <c r="Q26" s="1370"/>
      <c r="R26" s="1392">
        <v>13.9</v>
      </c>
      <c r="S26" s="1393">
        <v>2.75</v>
      </c>
      <c r="T26" s="1393">
        <v>3.44</v>
      </c>
      <c r="U26" s="1390">
        <f>R26+S26</f>
        <v>16.649999999999999</v>
      </c>
      <c r="V26" s="1391">
        <f>R26+T26</f>
        <v>17.34</v>
      </c>
      <c r="W26" s="561">
        <v>14.05</v>
      </c>
      <c r="X26" s="562">
        <v>2.75</v>
      </c>
      <c r="Y26" s="562">
        <v>3.44</v>
      </c>
      <c r="Z26" s="559">
        <v>16.8</v>
      </c>
      <c r="AA26" s="560">
        <v>17.489999999999998</v>
      </c>
      <c r="AB26" s="561">
        <v>14.21</v>
      </c>
      <c r="AC26" s="562">
        <v>2.75</v>
      </c>
      <c r="AD26" s="562">
        <v>3.44</v>
      </c>
      <c r="AE26" s="559">
        <v>16.96</v>
      </c>
      <c r="AF26" s="560">
        <v>17.649999999999999</v>
      </c>
      <c r="AG26" s="561">
        <v>14.36</v>
      </c>
      <c r="AH26" s="562">
        <v>2.75</v>
      </c>
      <c r="AI26" s="562">
        <v>3.44</v>
      </c>
      <c r="AJ26" s="559">
        <v>17.11</v>
      </c>
      <c r="AK26" s="560">
        <v>17.8</v>
      </c>
      <c r="AL26" s="561">
        <v>14.52</v>
      </c>
      <c r="AM26" s="562">
        <v>2.75</v>
      </c>
      <c r="AN26" s="562">
        <v>3.44</v>
      </c>
      <c r="AO26" s="559">
        <v>17.27</v>
      </c>
      <c r="AP26" s="560">
        <v>17.96</v>
      </c>
      <c r="AQ26" s="561">
        <v>14.68</v>
      </c>
      <c r="AR26" s="562">
        <v>2.75</v>
      </c>
      <c r="AS26" s="562">
        <v>3.44</v>
      </c>
      <c r="AT26" s="559">
        <v>17.43</v>
      </c>
      <c r="AU26" s="560">
        <v>18.12</v>
      </c>
      <c r="AV26" s="561">
        <v>14.83</v>
      </c>
      <c r="AW26" s="562">
        <v>2.75</v>
      </c>
      <c r="AX26" s="562">
        <v>3.44</v>
      </c>
      <c r="AY26" s="559">
        <v>17.579999999999998</v>
      </c>
      <c r="AZ26" s="560">
        <v>18.27</v>
      </c>
      <c r="BA26" s="561">
        <v>14.99</v>
      </c>
      <c r="BB26" s="562">
        <v>2.75</v>
      </c>
      <c r="BC26" s="562">
        <v>3.44</v>
      </c>
      <c r="BD26" s="559">
        <v>17.739999999999998</v>
      </c>
      <c r="BE26" s="560">
        <v>18.43</v>
      </c>
      <c r="BF26" s="561">
        <v>15.14</v>
      </c>
      <c r="BG26" s="562">
        <v>2.75</v>
      </c>
      <c r="BH26" s="562">
        <v>3.44</v>
      </c>
      <c r="BI26" s="559">
        <v>17.89</v>
      </c>
      <c r="BJ26" s="560">
        <v>18.579999999999998</v>
      </c>
      <c r="BK26" s="561">
        <v>15.3</v>
      </c>
      <c r="BL26" s="562">
        <v>2.75</v>
      </c>
      <c r="BM26" s="562">
        <v>3.44</v>
      </c>
      <c r="BN26" s="559">
        <v>18.05</v>
      </c>
      <c r="BO26" s="560">
        <v>18.739999999999998</v>
      </c>
      <c r="BP26" s="561">
        <v>15.46</v>
      </c>
      <c r="BQ26" s="562">
        <v>2.75</v>
      </c>
      <c r="BR26" s="562">
        <v>3.44</v>
      </c>
      <c r="BS26" s="559">
        <v>18.21</v>
      </c>
      <c r="BT26" s="560">
        <v>18.899999999999999</v>
      </c>
      <c r="BU26" s="561">
        <v>15.61</v>
      </c>
      <c r="BV26" s="562">
        <v>2.75</v>
      </c>
      <c r="BW26" s="562">
        <v>3.44</v>
      </c>
      <c r="BX26" s="559">
        <v>18.36</v>
      </c>
      <c r="BY26" s="560">
        <v>19.05</v>
      </c>
      <c r="BZ26" s="561">
        <v>15.77</v>
      </c>
      <c r="CA26" s="562">
        <v>2.75</v>
      </c>
      <c r="CB26" s="562">
        <v>3.44</v>
      </c>
      <c r="CC26" s="559">
        <v>18.52</v>
      </c>
      <c r="CD26" s="560">
        <v>19.21</v>
      </c>
      <c r="CE26" s="561">
        <v>15.92</v>
      </c>
      <c r="CF26" s="562">
        <v>2.75</v>
      </c>
      <c r="CG26" s="562">
        <v>3.44</v>
      </c>
      <c r="CH26" s="559">
        <v>18.670000000000002</v>
      </c>
      <c r="CI26" s="560">
        <v>19.36</v>
      </c>
      <c r="CJ26" s="4">
        <v>16.079999999999998</v>
      </c>
      <c r="CK26" s="4">
        <v>2.75</v>
      </c>
      <c r="CL26" s="4">
        <v>3.44</v>
      </c>
      <c r="CM26" s="4">
        <v>18.829999999999998</v>
      </c>
      <c r="CN26" s="4">
        <v>19.52</v>
      </c>
      <c r="CO26" s="4">
        <v>16.23</v>
      </c>
      <c r="CP26" s="4">
        <v>2.75</v>
      </c>
      <c r="CQ26" s="4">
        <v>3.44</v>
      </c>
      <c r="CR26" s="4">
        <v>18.98</v>
      </c>
      <c r="CS26" s="4">
        <v>19.670000000000002</v>
      </c>
      <c r="CT26" s="4">
        <v>16.39</v>
      </c>
      <c r="CU26" s="4">
        <v>2.75</v>
      </c>
      <c r="CV26" s="4">
        <v>3.44</v>
      </c>
      <c r="CW26" s="4">
        <v>19.14</v>
      </c>
      <c r="CX26" s="4">
        <v>19.829999999999998</v>
      </c>
      <c r="CY26" s="4">
        <v>16.55</v>
      </c>
      <c r="CZ26" s="4">
        <v>2.75</v>
      </c>
      <c r="DA26" s="4">
        <v>3.44</v>
      </c>
      <c r="DB26" s="4">
        <v>19.3</v>
      </c>
      <c r="DC26" s="4">
        <v>19.989999999999998</v>
      </c>
      <c r="DD26" s="4">
        <v>16.7</v>
      </c>
      <c r="DE26" s="4">
        <v>2.75</v>
      </c>
      <c r="DF26" s="4">
        <v>3.44</v>
      </c>
      <c r="DG26" s="4">
        <v>19.45</v>
      </c>
      <c r="DH26" s="4">
        <v>20.14</v>
      </c>
      <c r="DI26" s="4">
        <v>16.86</v>
      </c>
      <c r="DJ26" s="4">
        <v>2.75</v>
      </c>
      <c r="DK26" s="4">
        <v>3.44</v>
      </c>
      <c r="DL26" s="4">
        <v>19.61</v>
      </c>
      <c r="DM26" s="4">
        <v>20.3</v>
      </c>
      <c r="DN26" s="4">
        <v>17.010000000000002</v>
      </c>
      <c r="DO26" s="4">
        <v>2.75</v>
      </c>
      <c r="DP26" s="4">
        <v>3.44</v>
      </c>
      <c r="DQ26" s="4">
        <v>19.760000000000002</v>
      </c>
      <c r="DR26" s="4">
        <v>20.45</v>
      </c>
      <c r="DS26" s="4">
        <v>17.170000000000002</v>
      </c>
      <c r="DT26" s="4">
        <v>2.75</v>
      </c>
      <c r="DU26" s="4">
        <v>3.44</v>
      </c>
      <c r="DV26" s="4">
        <v>19.920000000000002</v>
      </c>
      <c r="DW26" s="4">
        <v>20.61</v>
      </c>
    </row>
    <row r="27" spans="1:127" ht="21.75">
      <c r="A27" s="9"/>
      <c r="B27" s="11" t="s">
        <v>63</v>
      </c>
      <c r="C27" s="57" t="s">
        <v>64</v>
      </c>
      <c r="D27" s="22">
        <f t="shared" si="0"/>
        <v>45.25</v>
      </c>
      <c r="E27" s="22">
        <f t="shared" si="1"/>
        <v>20.9</v>
      </c>
      <c r="F27" s="22">
        <f t="shared" si="2"/>
        <v>26.13</v>
      </c>
      <c r="G27" s="22">
        <f t="shared" si="3"/>
        <v>66.150000000000006</v>
      </c>
      <c r="H27" s="22">
        <f t="shared" si="4"/>
        <v>71.38</v>
      </c>
      <c r="J27" s="9"/>
      <c r="K27" s="11" t="s">
        <v>63</v>
      </c>
      <c r="L27" s="63" t="s">
        <v>64</v>
      </c>
      <c r="M27" s="1371"/>
      <c r="N27" s="1372"/>
      <c r="O27" s="1372"/>
      <c r="P27" s="1369"/>
      <c r="Q27" s="1370"/>
      <c r="R27" s="1392">
        <v>43.38</v>
      </c>
      <c r="S27" s="1393">
        <v>20.9</v>
      </c>
      <c r="T27" s="1393">
        <v>26.13</v>
      </c>
      <c r="U27" s="1390">
        <f>R27+S27</f>
        <v>64.28</v>
      </c>
      <c r="V27" s="1391">
        <f>R27+T27</f>
        <v>69.510000000000005</v>
      </c>
      <c r="W27" s="561">
        <v>44</v>
      </c>
      <c r="X27" s="562">
        <v>20.9</v>
      </c>
      <c r="Y27" s="562">
        <v>26.13</v>
      </c>
      <c r="Z27" s="559">
        <v>64.900000000000006</v>
      </c>
      <c r="AA27" s="560">
        <v>70.13</v>
      </c>
      <c r="AB27" s="561">
        <v>44.63</v>
      </c>
      <c r="AC27" s="562">
        <v>20.9</v>
      </c>
      <c r="AD27" s="562">
        <v>26.13</v>
      </c>
      <c r="AE27" s="559">
        <v>65.53</v>
      </c>
      <c r="AF27" s="560">
        <v>70.760000000000005</v>
      </c>
      <c r="AG27" s="561">
        <v>45.25</v>
      </c>
      <c r="AH27" s="562">
        <v>20.9</v>
      </c>
      <c r="AI27" s="562">
        <v>26.13</v>
      </c>
      <c r="AJ27" s="559">
        <v>66.150000000000006</v>
      </c>
      <c r="AK27" s="560">
        <v>71.38</v>
      </c>
      <c r="AL27" s="561">
        <v>45.87</v>
      </c>
      <c r="AM27" s="562">
        <v>20.9</v>
      </c>
      <c r="AN27" s="562">
        <v>26.13</v>
      </c>
      <c r="AO27" s="559">
        <v>66.77</v>
      </c>
      <c r="AP27" s="560">
        <v>72</v>
      </c>
      <c r="AQ27" s="561">
        <v>46.5</v>
      </c>
      <c r="AR27" s="562">
        <v>20.9</v>
      </c>
      <c r="AS27" s="562">
        <v>26.13</v>
      </c>
      <c r="AT27" s="559">
        <v>67.400000000000006</v>
      </c>
      <c r="AU27" s="560">
        <v>72.63</v>
      </c>
      <c r="AV27" s="561">
        <v>47.12</v>
      </c>
      <c r="AW27" s="562">
        <v>20.9</v>
      </c>
      <c r="AX27" s="562">
        <v>26.13</v>
      </c>
      <c r="AY27" s="559">
        <v>68.02</v>
      </c>
      <c r="AZ27" s="560">
        <v>73.25</v>
      </c>
      <c r="BA27" s="561">
        <v>47.74</v>
      </c>
      <c r="BB27" s="562">
        <v>20.9</v>
      </c>
      <c r="BC27" s="562">
        <v>26.13</v>
      </c>
      <c r="BD27" s="559">
        <v>68.64</v>
      </c>
      <c r="BE27" s="560">
        <v>73.87</v>
      </c>
      <c r="BF27" s="561">
        <v>48.36</v>
      </c>
      <c r="BG27" s="562">
        <v>20.9</v>
      </c>
      <c r="BH27" s="562">
        <v>26.13</v>
      </c>
      <c r="BI27" s="559">
        <v>69.260000000000005</v>
      </c>
      <c r="BJ27" s="560">
        <v>74.489999999999995</v>
      </c>
      <c r="BK27" s="561">
        <v>48.99</v>
      </c>
      <c r="BL27" s="562">
        <v>20.9</v>
      </c>
      <c r="BM27" s="562">
        <v>26.13</v>
      </c>
      <c r="BN27" s="559">
        <v>69.89</v>
      </c>
      <c r="BO27" s="560">
        <v>75.12</v>
      </c>
      <c r="BP27" s="561">
        <v>49.61</v>
      </c>
      <c r="BQ27" s="562">
        <v>20.9</v>
      </c>
      <c r="BR27" s="562">
        <v>26.13</v>
      </c>
      <c r="BS27" s="559">
        <v>70.510000000000005</v>
      </c>
      <c r="BT27" s="560">
        <v>75.739999999999995</v>
      </c>
      <c r="BU27" s="561">
        <v>50.23</v>
      </c>
      <c r="BV27" s="562">
        <v>20.9</v>
      </c>
      <c r="BW27" s="562">
        <v>26.13</v>
      </c>
      <c r="BX27" s="559">
        <v>71.13</v>
      </c>
      <c r="BY27" s="560">
        <v>76.36</v>
      </c>
      <c r="BZ27" s="561">
        <v>50.86</v>
      </c>
      <c r="CA27" s="562">
        <v>20.9</v>
      </c>
      <c r="CB27" s="562">
        <v>26.13</v>
      </c>
      <c r="CC27" s="559">
        <v>71.760000000000005</v>
      </c>
      <c r="CD27" s="560">
        <v>76.989999999999995</v>
      </c>
      <c r="CE27" s="561">
        <v>51.48</v>
      </c>
      <c r="CF27" s="562">
        <v>20.9</v>
      </c>
      <c r="CG27" s="562">
        <v>26.13</v>
      </c>
      <c r="CH27" s="559">
        <v>72.38</v>
      </c>
      <c r="CI27" s="560">
        <v>77.61</v>
      </c>
      <c r="CJ27" s="4">
        <v>52.1</v>
      </c>
      <c r="CK27" s="4">
        <v>20.9</v>
      </c>
      <c r="CL27" s="4">
        <v>26.13</v>
      </c>
      <c r="CM27" s="4">
        <v>73</v>
      </c>
      <c r="CN27" s="4">
        <v>78.23</v>
      </c>
      <c r="CO27" s="4">
        <v>52.73</v>
      </c>
      <c r="CP27" s="4">
        <v>20.9</v>
      </c>
      <c r="CQ27" s="4">
        <v>26.13</v>
      </c>
      <c r="CR27" s="4">
        <v>73.63</v>
      </c>
      <c r="CS27" s="4">
        <v>78.86</v>
      </c>
      <c r="CT27" s="4">
        <v>53.35</v>
      </c>
      <c r="CU27" s="4">
        <v>20.9</v>
      </c>
      <c r="CV27" s="4">
        <v>26.13</v>
      </c>
      <c r="CW27" s="4">
        <v>74.25</v>
      </c>
      <c r="CX27" s="4">
        <v>79.48</v>
      </c>
      <c r="CY27" s="4">
        <v>53.97</v>
      </c>
      <c r="CZ27" s="4">
        <v>20.9</v>
      </c>
      <c r="DA27" s="4">
        <v>26.13</v>
      </c>
      <c r="DB27" s="4">
        <v>74.87</v>
      </c>
      <c r="DC27" s="4">
        <v>80.099999999999994</v>
      </c>
      <c r="DD27" s="4">
        <v>54.6</v>
      </c>
      <c r="DE27" s="4">
        <v>20.9</v>
      </c>
      <c r="DF27" s="4">
        <v>26.13</v>
      </c>
      <c r="DG27" s="4">
        <v>75.5</v>
      </c>
      <c r="DH27" s="4">
        <v>80.73</v>
      </c>
      <c r="DI27" s="4">
        <v>55.22</v>
      </c>
      <c r="DJ27" s="4">
        <v>20.9</v>
      </c>
      <c r="DK27" s="4">
        <v>26.13</v>
      </c>
      <c r="DL27" s="4">
        <v>76.12</v>
      </c>
      <c r="DM27" s="4">
        <v>81.349999999999994</v>
      </c>
      <c r="DN27" s="4">
        <v>55.84</v>
      </c>
      <c r="DO27" s="4">
        <v>20.9</v>
      </c>
      <c r="DP27" s="4">
        <v>26.13</v>
      </c>
      <c r="DQ27" s="4">
        <v>76.739999999999995</v>
      </c>
      <c r="DR27" s="4">
        <v>81.97</v>
      </c>
      <c r="DS27" s="4">
        <v>56.47</v>
      </c>
      <c r="DT27" s="4">
        <v>20.9</v>
      </c>
      <c r="DU27" s="4">
        <v>26.13</v>
      </c>
      <c r="DV27" s="4">
        <v>77.37</v>
      </c>
      <c r="DW27" s="4">
        <v>82.6</v>
      </c>
    </row>
    <row r="28" spans="1:127" ht="21.75">
      <c r="A28" s="9">
        <v>6</v>
      </c>
      <c r="B28" s="11" t="s">
        <v>75</v>
      </c>
      <c r="C28" s="57"/>
      <c r="D28" s="22"/>
      <c r="E28" s="22"/>
      <c r="F28" s="22"/>
      <c r="G28" s="22"/>
      <c r="H28" s="22"/>
      <c r="J28" s="9">
        <v>6</v>
      </c>
      <c r="K28" s="11" t="s">
        <v>75</v>
      </c>
      <c r="L28" s="63"/>
      <c r="M28" s="1371"/>
      <c r="N28" s="1372"/>
      <c r="O28" s="1372"/>
      <c r="P28" s="1372"/>
      <c r="Q28" s="1373"/>
      <c r="R28" s="1392"/>
      <c r="S28" s="1393"/>
      <c r="T28" s="1393"/>
      <c r="U28" s="1393"/>
      <c r="V28" s="1394"/>
      <c r="W28" s="561"/>
      <c r="X28" s="562"/>
      <c r="Y28" s="562"/>
      <c r="Z28" s="562"/>
      <c r="AA28" s="563"/>
      <c r="AB28" s="561"/>
      <c r="AC28" s="562"/>
      <c r="AD28" s="562"/>
      <c r="AE28" s="562"/>
      <c r="AF28" s="563"/>
      <c r="AG28" s="561"/>
      <c r="AH28" s="562"/>
      <c r="AI28" s="562"/>
      <c r="AJ28" s="562"/>
      <c r="AK28" s="563"/>
      <c r="AL28" s="561"/>
      <c r="AM28" s="562"/>
      <c r="AN28" s="562"/>
      <c r="AO28" s="562"/>
      <c r="AP28" s="563"/>
      <c r="AQ28" s="561"/>
      <c r="AR28" s="562"/>
      <c r="AS28" s="562"/>
      <c r="AT28" s="562"/>
      <c r="AU28" s="563"/>
      <c r="AV28" s="561"/>
      <c r="AW28" s="562"/>
      <c r="AX28" s="562"/>
      <c r="AY28" s="562"/>
      <c r="AZ28" s="563"/>
      <c r="BA28" s="561"/>
      <c r="BB28" s="562"/>
      <c r="BC28" s="562"/>
      <c r="BD28" s="562"/>
      <c r="BE28" s="563"/>
      <c r="BF28" s="561"/>
      <c r="BG28" s="562"/>
      <c r="BH28" s="562"/>
      <c r="BI28" s="562"/>
      <c r="BJ28" s="563"/>
      <c r="BK28" s="561"/>
      <c r="BL28" s="562"/>
      <c r="BM28" s="562"/>
      <c r="BN28" s="562"/>
      <c r="BO28" s="563"/>
      <c r="BP28" s="561"/>
      <c r="BQ28" s="562"/>
      <c r="BR28" s="562"/>
      <c r="BS28" s="562"/>
      <c r="BT28" s="563"/>
      <c r="BU28" s="561"/>
      <c r="BV28" s="562"/>
      <c r="BW28" s="562"/>
      <c r="BX28" s="562"/>
      <c r="BY28" s="563"/>
      <c r="BZ28" s="561"/>
      <c r="CA28" s="562"/>
      <c r="CB28" s="562"/>
      <c r="CC28" s="562"/>
      <c r="CD28" s="563"/>
      <c r="CE28" s="561"/>
      <c r="CF28" s="562"/>
      <c r="CG28" s="562"/>
      <c r="CH28" s="562"/>
      <c r="CI28" s="563"/>
    </row>
    <row r="29" spans="1:127" ht="21.75">
      <c r="A29" s="9"/>
      <c r="B29" s="11" t="s">
        <v>76</v>
      </c>
      <c r="C29" s="57" t="s">
        <v>64</v>
      </c>
      <c r="D29" s="22">
        <f t="shared" si="0"/>
        <v>19.37</v>
      </c>
      <c r="E29" s="22">
        <f t="shared" si="1"/>
        <v>4.2</v>
      </c>
      <c r="F29" s="22">
        <f t="shared" si="2"/>
        <v>5.25</v>
      </c>
      <c r="G29" s="22">
        <f t="shared" si="3"/>
        <v>23.57</v>
      </c>
      <c r="H29" s="22">
        <f t="shared" si="4"/>
        <v>24.62</v>
      </c>
      <c r="J29" s="9"/>
      <c r="K29" s="11" t="s">
        <v>76</v>
      </c>
      <c r="L29" s="63" t="s">
        <v>64</v>
      </c>
      <c r="M29" s="1371"/>
      <c r="N29" s="1372"/>
      <c r="O29" s="1372"/>
      <c r="P29" s="1369"/>
      <c r="Q29" s="1370"/>
      <c r="R29" s="1392">
        <v>18.940000000000001</v>
      </c>
      <c r="S29" s="1393">
        <v>4.2</v>
      </c>
      <c r="T29" s="1393">
        <v>5.25</v>
      </c>
      <c r="U29" s="1390">
        <f>R29+S29</f>
        <v>23.14</v>
      </c>
      <c r="V29" s="1391">
        <f>R29+T29</f>
        <v>24.19</v>
      </c>
      <c r="W29" s="561">
        <v>19.079999999999998</v>
      </c>
      <c r="X29" s="562">
        <v>4.2</v>
      </c>
      <c r="Y29" s="562">
        <v>5.25</v>
      </c>
      <c r="Z29" s="559">
        <v>23.28</v>
      </c>
      <c r="AA29" s="560">
        <v>24.33</v>
      </c>
      <c r="AB29" s="561" t="s">
        <v>1819</v>
      </c>
      <c r="AC29" s="562">
        <v>4.2</v>
      </c>
      <c r="AD29" s="562">
        <v>5.25</v>
      </c>
      <c r="AE29" s="559">
        <v>23.43</v>
      </c>
      <c r="AF29" s="560">
        <v>24.48</v>
      </c>
      <c r="AG29" s="561">
        <v>19.37</v>
      </c>
      <c r="AH29" s="562">
        <v>4.2</v>
      </c>
      <c r="AI29" s="562">
        <v>5.25</v>
      </c>
      <c r="AJ29" s="559">
        <v>23.57</v>
      </c>
      <c r="AK29" s="560">
        <v>24.62</v>
      </c>
      <c r="AL29" s="561">
        <v>19.510000000000002</v>
      </c>
      <c r="AM29" s="562">
        <v>4.2</v>
      </c>
      <c r="AN29" s="562">
        <v>5.25</v>
      </c>
      <c r="AO29" s="559">
        <v>23.71</v>
      </c>
      <c r="AP29" s="560">
        <v>24.76</v>
      </c>
      <c r="AQ29" s="561">
        <v>19.649999999999999</v>
      </c>
      <c r="AR29" s="562">
        <v>4.2</v>
      </c>
      <c r="AS29" s="562">
        <v>5.25</v>
      </c>
      <c r="AT29" s="559">
        <v>23.85</v>
      </c>
      <c r="AU29" s="560">
        <v>24.9</v>
      </c>
      <c r="AV29" s="561">
        <v>19.8</v>
      </c>
      <c r="AW29" s="562">
        <v>4.2</v>
      </c>
      <c r="AX29" s="562">
        <v>5.25</v>
      </c>
      <c r="AY29" s="559">
        <v>24</v>
      </c>
      <c r="AZ29" s="560">
        <v>25.05</v>
      </c>
      <c r="BA29" s="561">
        <v>19.940000000000001</v>
      </c>
      <c r="BB29" s="562">
        <v>4.2</v>
      </c>
      <c r="BC29" s="562">
        <v>5.25</v>
      </c>
      <c r="BD29" s="559">
        <v>24.14</v>
      </c>
      <c r="BE29" s="560">
        <v>25.19</v>
      </c>
      <c r="BF29" s="561">
        <v>20.079999999999998</v>
      </c>
      <c r="BG29" s="562">
        <v>4.2</v>
      </c>
      <c r="BH29" s="562">
        <v>5.25</v>
      </c>
      <c r="BI29" s="559">
        <v>24.28</v>
      </c>
      <c r="BJ29" s="560">
        <v>25.33</v>
      </c>
      <c r="BK29" s="561">
        <v>20.22</v>
      </c>
      <c r="BL29" s="562">
        <v>4.2</v>
      </c>
      <c r="BM29" s="562">
        <v>5.25</v>
      </c>
      <c r="BN29" s="559">
        <v>24.42</v>
      </c>
      <c r="BO29" s="560">
        <v>25.47</v>
      </c>
      <c r="BP29" s="561">
        <v>20.37</v>
      </c>
      <c r="BQ29" s="562">
        <v>4.2</v>
      </c>
      <c r="BR29" s="562">
        <v>5.25</v>
      </c>
      <c r="BS29" s="559">
        <v>24.57</v>
      </c>
      <c r="BT29" s="560">
        <v>25.62</v>
      </c>
      <c r="BU29" s="561">
        <v>20.51</v>
      </c>
      <c r="BV29" s="562">
        <v>4.2</v>
      </c>
      <c r="BW29" s="562">
        <v>5.25</v>
      </c>
      <c r="BX29" s="559">
        <v>24.71</v>
      </c>
      <c r="BY29" s="560">
        <v>25.76</v>
      </c>
      <c r="BZ29" s="561">
        <v>20.65</v>
      </c>
      <c r="CA29" s="562">
        <v>4.2</v>
      </c>
      <c r="CB29" s="562">
        <v>5.25</v>
      </c>
      <c r="CC29" s="559">
        <v>24.85</v>
      </c>
      <c r="CD29" s="560">
        <v>25.9</v>
      </c>
      <c r="CE29" s="561">
        <v>20.8</v>
      </c>
      <c r="CF29" s="562">
        <v>4.2</v>
      </c>
      <c r="CG29" s="562">
        <v>5.25</v>
      </c>
      <c r="CH29" s="559">
        <v>25</v>
      </c>
      <c r="CI29" s="560">
        <v>26.05</v>
      </c>
      <c r="CJ29" s="4">
        <v>20.94</v>
      </c>
      <c r="CK29" s="4">
        <v>4.2</v>
      </c>
      <c r="CL29" s="4">
        <v>5.25</v>
      </c>
      <c r="CM29" s="4">
        <v>25.14</v>
      </c>
      <c r="CN29" s="4">
        <v>26.19</v>
      </c>
      <c r="CO29" s="4">
        <v>21.08</v>
      </c>
      <c r="CP29" s="4">
        <v>4.2</v>
      </c>
      <c r="CQ29" s="4">
        <v>5.25</v>
      </c>
      <c r="CR29" s="4">
        <v>25.28</v>
      </c>
      <c r="CS29" s="4">
        <v>26.33</v>
      </c>
      <c r="CT29" s="4">
        <v>21.22</v>
      </c>
      <c r="CU29" s="4">
        <v>4.2</v>
      </c>
      <c r="CV29" s="4">
        <v>5.25</v>
      </c>
      <c r="CW29" s="4">
        <v>25.42</v>
      </c>
      <c r="CX29" s="4">
        <v>26.47</v>
      </c>
      <c r="CY29" s="4">
        <v>21.37</v>
      </c>
      <c r="CZ29" s="4">
        <v>4.2</v>
      </c>
      <c r="DA29" s="4">
        <v>5.25</v>
      </c>
      <c r="DB29" s="4">
        <v>25.57</v>
      </c>
      <c r="DC29" s="4">
        <v>26.62</v>
      </c>
      <c r="DD29" s="4">
        <v>21.51</v>
      </c>
      <c r="DE29" s="4">
        <v>4.2</v>
      </c>
      <c r="DF29" s="4">
        <v>5.25</v>
      </c>
      <c r="DG29" s="4">
        <v>25.71</v>
      </c>
      <c r="DH29" s="4">
        <v>26.76</v>
      </c>
      <c r="DI29" s="4">
        <v>21.65</v>
      </c>
      <c r="DJ29" s="4">
        <v>4.2</v>
      </c>
      <c r="DK29" s="4">
        <v>5.25</v>
      </c>
      <c r="DL29" s="4">
        <v>25.85</v>
      </c>
      <c r="DM29" s="4">
        <v>26.9</v>
      </c>
      <c r="DN29" s="4">
        <v>21.8</v>
      </c>
      <c r="DO29" s="4">
        <v>4.2</v>
      </c>
      <c r="DP29" s="4">
        <v>5.25</v>
      </c>
      <c r="DQ29" s="4">
        <v>26</v>
      </c>
      <c r="DR29" s="4">
        <v>27.05</v>
      </c>
      <c r="DS29" s="4">
        <v>21.94</v>
      </c>
      <c r="DT29" s="4">
        <v>4.2</v>
      </c>
      <c r="DU29" s="4">
        <v>5.25</v>
      </c>
      <c r="DV29" s="4">
        <v>26.14</v>
      </c>
      <c r="DW29" s="4">
        <v>27.19</v>
      </c>
    </row>
    <row r="30" spans="1:127" ht="21.75">
      <c r="A30" s="9"/>
      <c r="B30" s="11" t="s">
        <v>63</v>
      </c>
      <c r="C30" s="57" t="s">
        <v>64</v>
      </c>
      <c r="D30" s="22">
        <f t="shared" si="0"/>
        <v>55.4</v>
      </c>
      <c r="E30" s="22">
        <f t="shared" si="1"/>
        <v>25.71</v>
      </c>
      <c r="F30" s="22">
        <f t="shared" si="2"/>
        <v>32.14</v>
      </c>
      <c r="G30" s="22">
        <f t="shared" si="3"/>
        <v>81.11</v>
      </c>
      <c r="H30" s="22">
        <f t="shared" si="4"/>
        <v>84.54</v>
      </c>
      <c r="I30" s="12"/>
      <c r="J30" s="9"/>
      <c r="K30" s="11" t="s">
        <v>63</v>
      </c>
      <c r="L30" s="63" t="s">
        <v>64</v>
      </c>
      <c r="M30" s="1371"/>
      <c r="N30" s="1372"/>
      <c r="O30" s="1372"/>
      <c r="P30" s="1369"/>
      <c r="Q30" s="1370"/>
      <c r="R30" s="1392">
        <v>53.07</v>
      </c>
      <c r="S30" s="1393">
        <v>25.71</v>
      </c>
      <c r="T30" s="1393">
        <v>32.14</v>
      </c>
      <c r="U30" s="1390">
        <f>R30+S30</f>
        <v>78.78</v>
      </c>
      <c r="V30" s="1391">
        <f>R30+T30</f>
        <v>85.210000000000008</v>
      </c>
      <c r="W30" s="561">
        <v>53.84</v>
      </c>
      <c r="X30" s="562">
        <v>25.71</v>
      </c>
      <c r="Y30" s="562">
        <v>32.14</v>
      </c>
      <c r="Z30" s="559">
        <v>79.55</v>
      </c>
      <c r="AA30" s="560">
        <v>85.98</v>
      </c>
      <c r="AB30" s="561">
        <v>54.62</v>
      </c>
      <c r="AC30" s="562">
        <v>25.71</v>
      </c>
      <c r="AD30" s="562">
        <v>32.14</v>
      </c>
      <c r="AE30" s="559">
        <v>80.33</v>
      </c>
      <c r="AF30" s="560">
        <v>86.76</v>
      </c>
      <c r="AG30" s="561">
        <v>55.4</v>
      </c>
      <c r="AH30" s="562">
        <v>25.71</v>
      </c>
      <c r="AI30" s="562">
        <v>32.14</v>
      </c>
      <c r="AJ30" s="559">
        <v>81.11</v>
      </c>
      <c r="AK30" s="560">
        <v>84.54</v>
      </c>
      <c r="AL30" s="561">
        <v>56.17</v>
      </c>
      <c r="AM30" s="562">
        <v>25.71</v>
      </c>
      <c r="AN30" s="562">
        <v>32.14</v>
      </c>
      <c r="AO30" s="559">
        <v>81.88</v>
      </c>
      <c r="AP30" s="560">
        <v>88.31</v>
      </c>
      <c r="AQ30" s="561">
        <v>56.95</v>
      </c>
      <c r="AR30" s="562">
        <v>25.71</v>
      </c>
      <c r="AS30" s="562">
        <v>32.14</v>
      </c>
      <c r="AT30" s="559">
        <v>82.66</v>
      </c>
      <c r="AU30" s="560">
        <v>89.09</v>
      </c>
      <c r="AV30" s="561">
        <v>57.73</v>
      </c>
      <c r="AW30" s="562">
        <v>25.71</v>
      </c>
      <c r="AX30" s="562">
        <v>32.14</v>
      </c>
      <c r="AY30" s="559">
        <v>83.44</v>
      </c>
      <c r="AZ30" s="560">
        <v>89.87</v>
      </c>
      <c r="BA30" s="561">
        <v>58.51</v>
      </c>
      <c r="BB30" s="562">
        <v>25.71</v>
      </c>
      <c r="BC30" s="562">
        <v>32.14</v>
      </c>
      <c r="BD30" s="559">
        <v>84.22</v>
      </c>
      <c r="BE30" s="560">
        <v>6.2</v>
      </c>
      <c r="BF30" s="561">
        <v>59.28</v>
      </c>
      <c r="BG30" s="562">
        <v>25.71</v>
      </c>
      <c r="BH30" s="562">
        <v>32.14</v>
      </c>
      <c r="BI30" s="559">
        <v>84.99</v>
      </c>
      <c r="BJ30" s="560">
        <v>91.42</v>
      </c>
      <c r="BK30" s="561">
        <v>60.06</v>
      </c>
      <c r="BL30" s="562">
        <v>25.71</v>
      </c>
      <c r="BM30" s="562">
        <v>32.14</v>
      </c>
      <c r="BN30" s="559">
        <v>85.77</v>
      </c>
      <c r="BO30" s="560">
        <v>92.2</v>
      </c>
      <c r="BP30" s="561">
        <v>60.84</v>
      </c>
      <c r="BQ30" s="562">
        <v>25.71</v>
      </c>
      <c r="BR30" s="562">
        <v>32.14</v>
      </c>
      <c r="BS30" s="559">
        <v>86.55</v>
      </c>
      <c r="BT30" s="560">
        <v>92.98</v>
      </c>
      <c r="BU30" s="561">
        <v>61.61</v>
      </c>
      <c r="BV30" s="562">
        <v>25.71</v>
      </c>
      <c r="BW30" s="562">
        <v>32.14</v>
      </c>
      <c r="BX30" s="559">
        <v>87.32</v>
      </c>
      <c r="BY30" s="560">
        <v>93.75</v>
      </c>
      <c r="BZ30" s="561">
        <v>62.39</v>
      </c>
      <c r="CA30" s="562">
        <v>25.71</v>
      </c>
      <c r="CB30" s="562">
        <v>32.14</v>
      </c>
      <c r="CC30" s="559">
        <v>88.1</v>
      </c>
      <c r="CD30" s="560">
        <v>94.53</v>
      </c>
      <c r="CE30" s="561">
        <v>63.17</v>
      </c>
      <c r="CF30" s="562">
        <v>25.71</v>
      </c>
      <c r="CG30" s="562">
        <v>32.14</v>
      </c>
      <c r="CH30" s="559">
        <v>88.88</v>
      </c>
      <c r="CI30" s="560">
        <v>95.31</v>
      </c>
      <c r="CJ30" s="4">
        <v>63.95</v>
      </c>
      <c r="CK30" s="4">
        <v>25.71</v>
      </c>
      <c r="CL30" s="4">
        <v>32.14</v>
      </c>
      <c r="CM30" s="4">
        <v>89.66</v>
      </c>
      <c r="CN30" s="4">
        <v>96.09</v>
      </c>
      <c r="CO30" s="4">
        <v>64.72</v>
      </c>
      <c r="CP30" s="4">
        <v>25.71</v>
      </c>
      <c r="CQ30" s="4">
        <v>32.14</v>
      </c>
      <c r="CR30" s="4">
        <v>90.43</v>
      </c>
      <c r="CS30" s="4">
        <v>96.86</v>
      </c>
      <c r="CT30" s="4">
        <v>65.5</v>
      </c>
      <c r="CU30" s="4">
        <v>25.71</v>
      </c>
      <c r="CV30" s="4">
        <v>32.14</v>
      </c>
      <c r="CW30" s="4">
        <v>91.21</v>
      </c>
      <c r="CX30" s="4">
        <v>97.64</v>
      </c>
      <c r="CY30" s="4">
        <v>66.28</v>
      </c>
      <c r="CZ30" s="4">
        <v>25.71</v>
      </c>
      <c r="DA30" s="4">
        <v>32.14</v>
      </c>
      <c r="DB30" s="4">
        <v>91.99</v>
      </c>
      <c r="DC30" s="4">
        <v>98.42</v>
      </c>
      <c r="DD30" s="4">
        <v>67.06</v>
      </c>
      <c r="DE30" s="4">
        <v>25.71</v>
      </c>
      <c r="DF30" s="4">
        <v>32.14</v>
      </c>
      <c r="DG30" s="4">
        <v>92.77</v>
      </c>
      <c r="DH30" s="4">
        <v>99.2</v>
      </c>
      <c r="DI30" s="4">
        <v>67.83</v>
      </c>
      <c r="DJ30" s="4">
        <v>25.71</v>
      </c>
      <c r="DK30" s="4">
        <v>32.14</v>
      </c>
      <c r="DL30" s="4">
        <v>93.54</v>
      </c>
      <c r="DM30" s="4">
        <v>99.97</v>
      </c>
      <c r="DN30" s="4">
        <v>68.61</v>
      </c>
      <c r="DO30" s="4">
        <v>25.71</v>
      </c>
      <c r="DP30" s="4">
        <v>32.14</v>
      </c>
      <c r="DQ30" s="4">
        <v>94.32</v>
      </c>
      <c r="DR30" s="4">
        <v>100.75</v>
      </c>
      <c r="DS30" s="4">
        <v>69.39</v>
      </c>
      <c r="DT30" s="4">
        <v>25.71</v>
      </c>
      <c r="DU30" s="4">
        <v>32.14</v>
      </c>
      <c r="DV30" s="4">
        <v>95.1</v>
      </c>
      <c r="DW30" s="4">
        <v>101.53</v>
      </c>
    </row>
    <row r="31" spans="1:127" ht="21.75">
      <c r="A31" s="9">
        <v>7</v>
      </c>
      <c r="B31" s="11" t="s">
        <v>77</v>
      </c>
      <c r="C31" s="57" t="s">
        <v>64</v>
      </c>
      <c r="D31" s="22">
        <f t="shared" si="0"/>
        <v>5.81</v>
      </c>
      <c r="E31" s="22">
        <f t="shared" si="1"/>
        <v>1.66</v>
      </c>
      <c r="F31" s="22">
        <f t="shared" si="2"/>
        <v>2.08</v>
      </c>
      <c r="G31" s="22">
        <f t="shared" si="3"/>
        <v>7.47</v>
      </c>
      <c r="H31" s="22">
        <f t="shared" si="4"/>
        <v>7.89</v>
      </c>
      <c r="J31" s="9">
        <v>7</v>
      </c>
      <c r="K31" s="11" t="s">
        <v>77</v>
      </c>
      <c r="L31" s="63" t="s">
        <v>64</v>
      </c>
      <c r="M31" s="1371"/>
      <c r="N31" s="1372"/>
      <c r="O31" s="1372"/>
      <c r="P31" s="1369"/>
      <c r="Q31" s="1370"/>
      <c r="R31" s="1392">
        <v>5.58</v>
      </c>
      <c r="S31" s="1393">
        <v>1.66</v>
      </c>
      <c r="T31" s="1393">
        <v>2.08</v>
      </c>
      <c r="U31" s="1390">
        <f>R31+S31</f>
        <v>7.24</v>
      </c>
      <c r="V31" s="1391">
        <f>R31+T31</f>
        <v>7.66</v>
      </c>
      <c r="W31" s="561">
        <v>5.66</v>
      </c>
      <c r="X31" s="562">
        <v>1.66</v>
      </c>
      <c r="Y31" s="562">
        <v>2.08</v>
      </c>
      <c r="Z31" s="559">
        <v>7.32</v>
      </c>
      <c r="AA31" s="560">
        <v>7.74</v>
      </c>
      <c r="AB31" s="561">
        <v>5.74</v>
      </c>
      <c r="AC31" s="562">
        <v>1.66</v>
      </c>
      <c r="AD31" s="562">
        <v>2.08</v>
      </c>
      <c r="AE31" s="559">
        <v>7.4</v>
      </c>
      <c r="AF31" s="560">
        <v>7.82</v>
      </c>
      <c r="AG31" s="561">
        <v>5.81</v>
      </c>
      <c r="AH31" s="562">
        <v>1.66</v>
      </c>
      <c r="AI31" s="562">
        <v>2.08</v>
      </c>
      <c r="AJ31" s="559">
        <v>7.47</v>
      </c>
      <c r="AK31" s="560">
        <v>7.89</v>
      </c>
      <c r="AL31" s="561">
        <v>5.89</v>
      </c>
      <c r="AM31" s="562">
        <v>1.66</v>
      </c>
      <c r="AN31" s="562">
        <v>2.08</v>
      </c>
      <c r="AO31" s="559">
        <v>7.55</v>
      </c>
      <c r="AP31" s="560">
        <v>7.97</v>
      </c>
      <c r="AQ31" s="561">
        <v>5.97</v>
      </c>
      <c r="AR31" s="562">
        <v>1.66</v>
      </c>
      <c r="AS31" s="562">
        <v>2.08</v>
      </c>
      <c r="AT31" s="559">
        <v>7.63</v>
      </c>
      <c r="AU31" s="560">
        <v>8.0500000000000007</v>
      </c>
      <c r="AV31" s="561">
        <v>6.04</v>
      </c>
      <c r="AW31" s="562">
        <v>1.66</v>
      </c>
      <c r="AX31" s="562">
        <v>2.08</v>
      </c>
      <c r="AY31" s="559">
        <v>7.7</v>
      </c>
      <c r="AZ31" s="560">
        <v>8.1199999999999992</v>
      </c>
      <c r="BA31" s="561">
        <v>6.12</v>
      </c>
      <c r="BB31" s="562">
        <v>1.66</v>
      </c>
      <c r="BC31" s="562">
        <v>2.08</v>
      </c>
      <c r="BD31" s="559">
        <v>7.78</v>
      </c>
      <c r="BE31" s="560">
        <v>8.1999999999999993</v>
      </c>
      <c r="BF31" s="561">
        <v>6.2</v>
      </c>
      <c r="BG31" s="562">
        <v>1.66</v>
      </c>
      <c r="BH31" s="562">
        <v>2.08</v>
      </c>
      <c r="BI31" s="559">
        <v>7.86</v>
      </c>
      <c r="BJ31" s="560">
        <v>8.2799999999999994</v>
      </c>
      <c r="BK31" s="561">
        <v>6.27</v>
      </c>
      <c r="BL31" s="562">
        <v>1.66</v>
      </c>
      <c r="BM31" s="562">
        <v>2.08</v>
      </c>
      <c r="BN31" s="559">
        <v>7.93</v>
      </c>
      <c r="BO31" s="560">
        <v>8.35</v>
      </c>
      <c r="BP31" s="561">
        <v>6.35</v>
      </c>
      <c r="BQ31" s="562">
        <v>1.66</v>
      </c>
      <c r="BR31" s="562">
        <v>2.08</v>
      </c>
      <c r="BS31" s="559">
        <v>8.01</v>
      </c>
      <c r="BT31" s="560">
        <v>8.43</v>
      </c>
      <c r="BU31" s="561">
        <v>6.43</v>
      </c>
      <c r="BV31" s="562">
        <v>1.66</v>
      </c>
      <c r="BW31" s="562">
        <v>2.08</v>
      </c>
      <c r="BX31" s="559">
        <v>8.09</v>
      </c>
      <c r="BY31" s="560">
        <v>8.51</v>
      </c>
      <c r="BZ31" s="561">
        <v>6.5</v>
      </c>
      <c r="CA31" s="562">
        <v>1.66</v>
      </c>
      <c r="CB31" s="562">
        <v>2.08</v>
      </c>
      <c r="CC31" s="559">
        <v>8.16</v>
      </c>
      <c r="CD31" s="560">
        <v>8.58</v>
      </c>
      <c r="CE31" s="561">
        <v>6.58</v>
      </c>
      <c r="CF31" s="562">
        <v>1.66</v>
      </c>
      <c r="CG31" s="562">
        <v>2.08</v>
      </c>
      <c r="CH31" s="559">
        <v>8.24</v>
      </c>
      <c r="CI31" s="560">
        <v>8.66</v>
      </c>
      <c r="CJ31" s="4">
        <v>6.66</v>
      </c>
      <c r="CK31" s="4">
        <v>1.66</v>
      </c>
      <c r="CL31" s="4">
        <v>2.08</v>
      </c>
      <c r="CM31" s="4">
        <v>8.32</v>
      </c>
      <c r="CN31" s="4">
        <v>8.74</v>
      </c>
      <c r="CO31" s="4">
        <v>6.73</v>
      </c>
      <c r="CP31" s="4">
        <v>1.66</v>
      </c>
      <c r="CQ31" s="4">
        <v>2.08</v>
      </c>
      <c r="CR31" s="4">
        <v>8.39</v>
      </c>
      <c r="CS31" s="4">
        <v>8.81</v>
      </c>
      <c r="CT31" s="4">
        <v>6.81</v>
      </c>
      <c r="CU31" s="4">
        <v>1.66</v>
      </c>
      <c r="CV31" s="4">
        <v>2.08</v>
      </c>
      <c r="CW31" s="4">
        <v>8.4700000000000006</v>
      </c>
      <c r="CX31" s="4">
        <v>8.89</v>
      </c>
      <c r="CY31" s="4">
        <v>6.88</v>
      </c>
      <c r="CZ31" s="4">
        <v>1.66</v>
      </c>
      <c r="DA31" s="4">
        <v>2.08</v>
      </c>
      <c r="DB31" s="4">
        <v>8.5399999999999991</v>
      </c>
      <c r="DC31" s="4">
        <v>8.9600000000000009</v>
      </c>
      <c r="DD31" s="4">
        <v>6.96</v>
      </c>
      <c r="DE31" s="4">
        <v>1.66</v>
      </c>
      <c r="DF31" s="4">
        <v>2.08</v>
      </c>
      <c r="DG31" s="4">
        <v>8.6199999999999992</v>
      </c>
      <c r="DH31" s="4">
        <v>9.0399999999999991</v>
      </c>
      <c r="DI31" s="4">
        <v>7.04</v>
      </c>
      <c r="DJ31" s="4">
        <v>1.66</v>
      </c>
      <c r="DK31" s="4">
        <v>2.08</v>
      </c>
      <c r="DL31" s="4">
        <v>8.6999999999999993</v>
      </c>
      <c r="DM31" s="4">
        <v>9.1199999999999992</v>
      </c>
      <c r="DN31" s="4">
        <v>7.11</v>
      </c>
      <c r="DO31" s="4">
        <v>1.66</v>
      </c>
      <c r="DP31" s="4">
        <v>2.08</v>
      </c>
      <c r="DQ31" s="4">
        <v>8.77</v>
      </c>
      <c r="DR31" s="4">
        <v>9.19</v>
      </c>
      <c r="DS31" s="4">
        <v>7.19</v>
      </c>
      <c r="DT31" s="4">
        <v>1.66</v>
      </c>
      <c r="DU31" s="4">
        <v>2.08</v>
      </c>
      <c r="DV31" s="4">
        <v>8.85</v>
      </c>
      <c r="DW31" s="4">
        <v>9.27</v>
      </c>
    </row>
    <row r="32" spans="1:127" ht="21.75">
      <c r="A32" s="9">
        <v>8</v>
      </c>
      <c r="B32" s="11" t="s">
        <v>78</v>
      </c>
      <c r="C32" s="57"/>
      <c r="D32" s="22"/>
      <c r="E32" s="22"/>
      <c r="F32" s="22"/>
      <c r="G32" s="22"/>
      <c r="H32" s="22"/>
      <c r="J32" s="9">
        <v>8</v>
      </c>
      <c r="K32" s="11" t="s">
        <v>78</v>
      </c>
      <c r="L32" s="63"/>
      <c r="M32" s="1371"/>
      <c r="N32" s="1372"/>
      <c r="O32" s="1372"/>
      <c r="P32" s="1372"/>
      <c r="Q32" s="1373"/>
      <c r="R32" s="1392"/>
      <c r="S32" s="1393"/>
      <c r="T32" s="1393"/>
      <c r="U32" s="1393"/>
      <c r="V32" s="1394"/>
      <c r="W32" s="561"/>
      <c r="X32" s="562"/>
      <c r="Y32" s="562"/>
      <c r="Z32" s="562"/>
      <c r="AA32" s="563"/>
      <c r="AB32" s="561"/>
      <c r="AC32" s="562"/>
      <c r="AD32" s="562"/>
      <c r="AE32" s="562"/>
      <c r="AF32" s="563"/>
      <c r="AG32" s="561"/>
      <c r="AH32" s="562"/>
      <c r="AI32" s="562"/>
      <c r="AJ32" s="562"/>
      <c r="AK32" s="563"/>
      <c r="AL32" s="561"/>
      <c r="AM32" s="562"/>
      <c r="AN32" s="562"/>
      <c r="AO32" s="562"/>
      <c r="AP32" s="563"/>
      <c r="AQ32" s="561"/>
      <c r="AR32" s="562"/>
      <c r="AS32" s="562"/>
      <c r="AT32" s="562"/>
      <c r="AU32" s="563"/>
      <c r="AV32" s="561"/>
      <c r="AW32" s="562"/>
      <c r="AX32" s="562"/>
      <c r="AY32" s="562"/>
      <c r="AZ32" s="563"/>
      <c r="BA32" s="561"/>
      <c r="BB32" s="562"/>
      <c r="BC32" s="562"/>
      <c r="BD32" s="562"/>
      <c r="BE32" s="563"/>
      <c r="BF32" s="561"/>
      <c r="BG32" s="562"/>
      <c r="BH32" s="562"/>
      <c r="BI32" s="562"/>
      <c r="BJ32" s="563"/>
      <c r="BK32" s="561"/>
      <c r="BL32" s="562"/>
      <c r="BM32" s="562"/>
      <c r="BN32" s="562"/>
      <c r="BO32" s="563"/>
      <c r="BP32" s="561"/>
      <c r="BQ32" s="562"/>
      <c r="BR32" s="562"/>
      <c r="BS32" s="562"/>
      <c r="BT32" s="563"/>
      <c r="BU32" s="561"/>
      <c r="BV32" s="562"/>
      <c r="BW32" s="562"/>
      <c r="BX32" s="562"/>
      <c r="BY32" s="563"/>
      <c r="BZ32" s="561"/>
      <c r="CA32" s="562"/>
      <c r="CB32" s="562"/>
      <c r="CC32" s="562"/>
      <c r="CD32" s="563"/>
      <c r="CE32" s="561"/>
      <c r="CF32" s="562"/>
      <c r="CG32" s="562"/>
      <c r="CH32" s="562"/>
      <c r="CI32" s="563"/>
    </row>
    <row r="33" spans="1:127" ht="21.75">
      <c r="A33" s="9"/>
      <c r="B33" s="11" t="s">
        <v>79</v>
      </c>
      <c r="C33" s="57" t="s">
        <v>7</v>
      </c>
      <c r="D33" s="22">
        <f t="shared" si="0"/>
        <v>8.02</v>
      </c>
      <c r="E33" s="22">
        <f t="shared" si="1"/>
        <v>2.11</v>
      </c>
      <c r="F33" s="22">
        <f t="shared" si="2"/>
        <v>2.64</v>
      </c>
      <c r="G33" s="22">
        <f t="shared" si="3"/>
        <v>10.130000000000001</v>
      </c>
      <c r="H33" s="22">
        <f t="shared" si="4"/>
        <v>10.66</v>
      </c>
      <c r="J33" s="9"/>
      <c r="K33" s="11" t="s">
        <v>79</v>
      </c>
      <c r="L33" s="63" t="s">
        <v>7</v>
      </c>
      <c r="M33" s="1371"/>
      <c r="N33" s="1372"/>
      <c r="O33" s="1372"/>
      <c r="P33" s="1369"/>
      <c r="Q33" s="1370"/>
      <c r="R33" s="1392">
        <v>7.72</v>
      </c>
      <c r="S33" s="1393">
        <v>2.11</v>
      </c>
      <c r="T33" s="1393">
        <v>2.64</v>
      </c>
      <c r="U33" s="1390">
        <f>R33+S33</f>
        <v>9.83</v>
      </c>
      <c r="V33" s="1391">
        <f>R33+T33</f>
        <v>10.36</v>
      </c>
      <c r="W33" s="561">
        <v>7.82</v>
      </c>
      <c r="X33" s="562">
        <v>2.11</v>
      </c>
      <c r="Y33" s="562">
        <v>2.64</v>
      </c>
      <c r="Z33" s="559">
        <v>9.93</v>
      </c>
      <c r="AA33" s="560">
        <v>10.46</v>
      </c>
      <c r="AB33" s="561">
        <v>7.92</v>
      </c>
      <c r="AC33" s="562">
        <v>2.11</v>
      </c>
      <c r="AD33" s="562">
        <v>2.64</v>
      </c>
      <c r="AE33" s="559">
        <v>10.029999999999999</v>
      </c>
      <c r="AF33" s="560">
        <v>10.56</v>
      </c>
      <c r="AG33" s="561">
        <v>8.02</v>
      </c>
      <c r="AH33" s="562">
        <v>2.11</v>
      </c>
      <c r="AI33" s="562">
        <v>2.64</v>
      </c>
      <c r="AJ33" s="559">
        <v>10.130000000000001</v>
      </c>
      <c r="AK33" s="560">
        <v>10.66</v>
      </c>
      <c r="AL33" s="561">
        <v>8.1199999999999992</v>
      </c>
      <c r="AM33" s="562">
        <v>2.11</v>
      </c>
      <c r="AN33" s="562">
        <v>2.64</v>
      </c>
      <c r="AO33" s="559">
        <v>10.23</v>
      </c>
      <c r="AP33" s="560">
        <v>10.76</v>
      </c>
      <c r="AQ33" s="561">
        <v>8.2200000000000006</v>
      </c>
      <c r="AR33" s="562">
        <v>2.11</v>
      </c>
      <c r="AS33" s="562">
        <v>2.64</v>
      </c>
      <c r="AT33" s="559">
        <v>10.33</v>
      </c>
      <c r="AU33" s="560">
        <v>10.86</v>
      </c>
      <c r="AV33" s="561">
        <v>8.32</v>
      </c>
      <c r="AW33" s="562">
        <v>2.11</v>
      </c>
      <c r="AX33" s="562">
        <v>2.64</v>
      </c>
      <c r="AY33" s="559">
        <v>10.43</v>
      </c>
      <c r="AZ33" s="560">
        <v>10.96</v>
      </c>
      <c r="BA33" s="561">
        <v>8.42</v>
      </c>
      <c r="BB33" s="562">
        <v>2.11</v>
      </c>
      <c r="BC33" s="562">
        <v>2.64</v>
      </c>
      <c r="BD33" s="559">
        <v>10.53</v>
      </c>
      <c r="BE33" s="560">
        <v>11.06</v>
      </c>
      <c r="BF33" s="561">
        <v>8.52</v>
      </c>
      <c r="BG33" s="562">
        <v>2.11</v>
      </c>
      <c r="BH33" s="562">
        <v>2.64</v>
      </c>
      <c r="BI33" s="559">
        <v>10.63</v>
      </c>
      <c r="BJ33" s="560">
        <v>11.16</v>
      </c>
      <c r="BK33" s="561">
        <v>8.6300000000000008</v>
      </c>
      <c r="BL33" s="562">
        <v>2.11</v>
      </c>
      <c r="BM33" s="562">
        <v>2.64</v>
      </c>
      <c r="BN33" s="559">
        <v>10.74</v>
      </c>
      <c r="BO33" s="560">
        <v>11.27</v>
      </c>
      <c r="BP33" s="561">
        <v>8.73</v>
      </c>
      <c r="BQ33" s="562">
        <v>2.11</v>
      </c>
      <c r="BR33" s="562">
        <v>2.64</v>
      </c>
      <c r="BS33" s="559">
        <v>10.84</v>
      </c>
      <c r="BT33" s="560">
        <v>11.37</v>
      </c>
      <c r="BU33" s="561">
        <v>8.83</v>
      </c>
      <c r="BV33" s="562">
        <v>2.11</v>
      </c>
      <c r="BW33" s="562">
        <v>2.64</v>
      </c>
      <c r="BX33" s="559">
        <v>10.94</v>
      </c>
      <c r="BY33" s="560">
        <v>11.47</v>
      </c>
      <c r="BZ33" s="561">
        <v>8.93</v>
      </c>
      <c r="CA33" s="562">
        <v>2.11</v>
      </c>
      <c r="CB33" s="562">
        <v>2.64</v>
      </c>
      <c r="CC33" s="559">
        <v>11.04</v>
      </c>
      <c r="CD33" s="560">
        <v>11.57</v>
      </c>
      <c r="CE33" s="561">
        <v>9.0299999999999994</v>
      </c>
      <c r="CF33" s="562">
        <v>2.11</v>
      </c>
      <c r="CG33" s="562">
        <v>2.64</v>
      </c>
      <c r="CH33" s="559">
        <v>11.14</v>
      </c>
      <c r="CI33" s="560">
        <v>11.67</v>
      </c>
      <c r="CJ33" s="4">
        <v>9.1300000000000008</v>
      </c>
      <c r="CK33" s="4">
        <v>2.11</v>
      </c>
      <c r="CL33" s="4">
        <v>2.64</v>
      </c>
      <c r="CM33" s="4">
        <v>11.24</v>
      </c>
      <c r="CN33" s="4">
        <v>11.77</v>
      </c>
      <c r="CO33" s="4">
        <v>9.23</v>
      </c>
      <c r="CP33" s="4">
        <v>2.11</v>
      </c>
      <c r="CQ33" s="4">
        <v>2.64</v>
      </c>
      <c r="CR33" s="4">
        <v>11.34</v>
      </c>
      <c r="CS33" s="4">
        <v>11.87</v>
      </c>
      <c r="CT33" s="4">
        <v>9.33</v>
      </c>
      <c r="CU33" s="4">
        <v>2.11</v>
      </c>
      <c r="CV33" s="4">
        <v>2.64</v>
      </c>
      <c r="CW33" s="4">
        <v>11.44</v>
      </c>
      <c r="CX33" s="4">
        <v>11.97</v>
      </c>
      <c r="CY33" s="4">
        <v>9.43</v>
      </c>
      <c r="CZ33" s="4">
        <v>2.11</v>
      </c>
      <c r="DA33" s="4">
        <v>2.64</v>
      </c>
      <c r="DB33" s="4">
        <v>11.54</v>
      </c>
      <c r="DC33" s="4">
        <v>12.07</v>
      </c>
      <c r="DD33" s="4">
        <v>9.5299999999999994</v>
      </c>
      <c r="DE33" s="4">
        <v>2.11</v>
      </c>
      <c r="DF33" s="4">
        <v>2.64</v>
      </c>
      <c r="DG33" s="4">
        <v>11.64</v>
      </c>
      <c r="DH33" s="4">
        <v>12.17</v>
      </c>
      <c r="DI33" s="4">
        <v>9.6300000000000008</v>
      </c>
      <c r="DJ33" s="4">
        <v>2.11</v>
      </c>
      <c r="DK33" s="4">
        <v>2.64</v>
      </c>
      <c r="DL33" s="4">
        <v>11.74</v>
      </c>
      <c r="DM33" s="4">
        <v>12.27</v>
      </c>
      <c r="DN33" s="4">
        <v>9.73</v>
      </c>
      <c r="DO33" s="4">
        <v>2.11</v>
      </c>
      <c r="DP33" s="4">
        <v>2.64</v>
      </c>
      <c r="DQ33" s="4">
        <v>11.84</v>
      </c>
      <c r="DR33" s="4">
        <v>12.37</v>
      </c>
      <c r="DS33" s="4">
        <v>9.83</v>
      </c>
      <c r="DT33" s="4">
        <v>2.11</v>
      </c>
      <c r="DU33" s="4">
        <v>2.64</v>
      </c>
      <c r="DV33" s="4">
        <v>11.94</v>
      </c>
      <c r="DW33" s="4">
        <v>12.47</v>
      </c>
    </row>
    <row r="34" spans="1:127" ht="21.75">
      <c r="A34" s="9"/>
      <c r="B34" s="11" t="s">
        <v>80</v>
      </c>
      <c r="C34" s="57" t="s">
        <v>7</v>
      </c>
      <c r="D34" s="22">
        <f t="shared" si="0"/>
        <v>9.7799999999999994</v>
      </c>
      <c r="E34" s="22">
        <f t="shared" si="1"/>
        <v>3.38</v>
      </c>
      <c r="F34" s="22">
        <f t="shared" si="2"/>
        <v>4.2300000000000004</v>
      </c>
      <c r="G34" s="22">
        <f t="shared" si="3"/>
        <v>13.16</v>
      </c>
      <c r="H34" s="22">
        <f t="shared" si="4"/>
        <v>14.01</v>
      </c>
      <c r="J34" s="9"/>
      <c r="K34" s="11" t="s">
        <v>80</v>
      </c>
      <c r="L34" s="63" t="s">
        <v>7</v>
      </c>
      <c r="M34" s="1371"/>
      <c r="N34" s="1372"/>
      <c r="O34" s="1372"/>
      <c r="P34" s="1369"/>
      <c r="Q34" s="1370"/>
      <c r="R34" s="1392">
        <v>9.41</v>
      </c>
      <c r="S34" s="1393">
        <v>3.38</v>
      </c>
      <c r="T34" s="1393">
        <v>4.2300000000000004</v>
      </c>
      <c r="U34" s="1390">
        <f>R34+S34</f>
        <v>12.79</v>
      </c>
      <c r="V34" s="1391">
        <f>R34+T34</f>
        <v>13.64</v>
      </c>
      <c r="W34" s="561">
        <v>9.5299999999999994</v>
      </c>
      <c r="X34" s="562">
        <v>3.38</v>
      </c>
      <c r="Y34" s="562">
        <v>4.2300000000000004</v>
      </c>
      <c r="Z34" s="559">
        <v>12.91</v>
      </c>
      <c r="AA34" s="560">
        <v>13.76</v>
      </c>
      <c r="AB34" s="561">
        <v>9.66</v>
      </c>
      <c r="AC34" s="562">
        <v>3.38</v>
      </c>
      <c r="AD34" s="562">
        <v>4.2300000000000004</v>
      </c>
      <c r="AE34" s="559">
        <v>13.04</v>
      </c>
      <c r="AF34" s="560">
        <v>13.89</v>
      </c>
      <c r="AG34" s="561">
        <v>9.7799999999999994</v>
      </c>
      <c r="AH34" s="562">
        <v>3.38</v>
      </c>
      <c r="AI34" s="562">
        <v>4.2300000000000004</v>
      </c>
      <c r="AJ34" s="559">
        <v>13.16</v>
      </c>
      <c r="AK34" s="560">
        <v>14.01</v>
      </c>
      <c r="AL34" s="561">
        <v>9.9</v>
      </c>
      <c r="AM34" s="562">
        <v>3.38</v>
      </c>
      <c r="AN34" s="562">
        <v>4.2300000000000004</v>
      </c>
      <c r="AO34" s="559">
        <v>13.28</v>
      </c>
      <c r="AP34" s="560">
        <v>14.13</v>
      </c>
      <c r="AQ34" s="561">
        <v>10.029999999999999</v>
      </c>
      <c r="AR34" s="562">
        <v>3.38</v>
      </c>
      <c r="AS34" s="562">
        <v>4.2300000000000004</v>
      </c>
      <c r="AT34" s="559">
        <v>13.41</v>
      </c>
      <c r="AU34" s="560">
        <v>14.26</v>
      </c>
      <c r="AV34" s="561">
        <v>10.15</v>
      </c>
      <c r="AW34" s="562">
        <v>3.38</v>
      </c>
      <c r="AX34" s="562">
        <v>4.2300000000000004</v>
      </c>
      <c r="AY34" s="559">
        <v>13.53</v>
      </c>
      <c r="AZ34" s="560">
        <v>14.38</v>
      </c>
      <c r="BA34" s="561">
        <v>10.28</v>
      </c>
      <c r="BB34" s="562">
        <v>3.38</v>
      </c>
      <c r="BC34" s="562">
        <v>4.2300000000000004</v>
      </c>
      <c r="BD34" s="559">
        <v>13.66</v>
      </c>
      <c r="BE34" s="560">
        <v>14.51</v>
      </c>
      <c r="BF34" s="561">
        <v>10.4</v>
      </c>
      <c r="BG34" s="562">
        <v>3.38</v>
      </c>
      <c r="BH34" s="562">
        <v>4.2300000000000004</v>
      </c>
      <c r="BI34" s="559">
        <v>13.78</v>
      </c>
      <c r="BJ34" s="560">
        <v>14.63</v>
      </c>
      <c r="BK34" s="561">
        <v>10.52</v>
      </c>
      <c r="BL34" s="562">
        <v>3.38</v>
      </c>
      <c r="BM34" s="562">
        <v>4.2300000000000004</v>
      </c>
      <c r="BN34" s="559">
        <v>13.9</v>
      </c>
      <c r="BO34" s="560">
        <v>14.75</v>
      </c>
      <c r="BP34" s="561">
        <v>10.65</v>
      </c>
      <c r="BQ34" s="562">
        <v>3.38</v>
      </c>
      <c r="BR34" s="562">
        <v>4.2300000000000004</v>
      </c>
      <c r="BS34" s="559">
        <v>14.03</v>
      </c>
      <c r="BT34" s="560">
        <v>14.88</v>
      </c>
      <c r="BU34" s="561">
        <v>10.77</v>
      </c>
      <c r="BV34" s="562">
        <v>3.38</v>
      </c>
      <c r="BW34" s="562">
        <v>4.2300000000000004</v>
      </c>
      <c r="BX34" s="559">
        <v>14.15</v>
      </c>
      <c r="BY34" s="560">
        <v>15</v>
      </c>
      <c r="BZ34" s="561">
        <v>10.89</v>
      </c>
      <c r="CA34" s="562">
        <v>3.38</v>
      </c>
      <c r="CB34" s="562">
        <v>4.2300000000000004</v>
      </c>
      <c r="CC34" s="559">
        <v>14.27</v>
      </c>
      <c r="CD34" s="560">
        <v>15.12</v>
      </c>
      <c r="CE34" s="561">
        <v>11.02</v>
      </c>
      <c r="CF34" s="562">
        <v>3.38</v>
      </c>
      <c r="CG34" s="562">
        <v>4.2300000000000004</v>
      </c>
      <c r="CH34" s="559">
        <v>14.4</v>
      </c>
      <c r="CI34" s="560">
        <v>15.205</v>
      </c>
      <c r="CJ34" s="4">
        <v>11.14</v>
      </c>
      <c r="CK34" s="4">
        <v>3.38</v>
      </c>
      <c r="CL34" s="4">
        <v>4.2300000000000004</v>
      </c>
      <c r="CM34" s="4">
        <v>14.52</v>
      </c>
      <c r="CN34" s="4">
        <v>15.37</v>
      </c>
      <c r="CO34" s="4">
        <v>11.27</v>
      </c>
      <c r="CP34" s="4">
        <v>3.38</v>
      </c>
      <c r="CQ34" s="4">
        <v>4.2300000000000004</v>
      </c>
      <c r="CR34" s="4">
        <v>14.65</v>
      </c>
      <c r="CS34" s="4">
        <v>15.5</v>
      </c>
      <c r="CT34" s="4">
        <v>11.39</v>
      </c>
      <c r="CU34" s="4">
        <v>3.38</v>
      </c>
      <c r="CV34" s="4">
        <v>4.2300000000000004</v>
      </c>
      <c r="CW34" s="4">
        <v>14.77</v>
      </c>
      <c r="CX34" s="4">
        <v>15.62</v>
      </c>
      <c r="CY34" s="4">
        <v>11.51</v>
      </c>
      <c r="CZ34" s="4">
        <v>3.38</v>
      </c>
      <c r="DA34" s="4">
        <v>4.2300000000000004</v>
      </c>
      <c r="DB34" s="4">
        <v>14.89</v>
      </c>
      <c r="DC34" s="4">
        <v>15.74</v>
      </c>
      <c r="DD34" s="4">
        <v>11.64</v>
      </c>
      <c r="DE34" s="4">
        <v>3.38</v>
      </c>
      <c r="DF34" s="4">
        <v>4.2300000000000004</v>
      </c>
      <c r="DG34" s="4">
        <v>15.02</v>
      </c>
      <c r="DH34" s="4">
        <v>15.87</v>
      </c>
      <c r="DI34" s="4">
        <v>11.76</v>
      </c>
      <c r="DJ34" s="4">
        <v>3.38</v>
      </c>
      <c r="DK34" s="4">
        <v>4.2300000000000004</v>
      </c>
      <c r="DL34" s="4">
        <v>15.14</v>
      </c>
      <c r="DM34" s="4">
        <v>15.99</v>
      </c>
      <c r="DN34" s="4">
        <v>11.88</v>
      </c>
      <c r="DO34" s="4">
        <v>3.38</v>
      </c>
      <c r="DP34" s="4">
        <v>4.2300000000000004</v>
      </c>
      <c r="DQ34" s="4">
        <v>15.26</v>
      </c>
      <c r="DR34" s="4">
        <v>16.11</v>
      </c>
      <c r="DS34" s="4">
        <v>12.01</v>
      </c>
      <c r="DT34" s="4">
        <v>3.38</v>
      </c>
      <c r="DU34" s="4">
        <v>4.2300000000000004</v>
      </c>
      <c r="DV34" s="4">
        <v>15.39</v>
      </c>
      <c r="DW34" s="4">
        <v>16.239999999999998</v>
      </c>
    </row>
    <row r="35" spans="1:127" ht="21.75">
      <c r="A35" s="9"/>
      <c r="B35" s="11" t="s">
        <v>81</v>
      </c>
      <c r="C35" s="57" t="s">
        <v>7</v>
      </c>
      <c r="D35" s="22">
        <f t="shared" si="0"/>
        <v>8.83</v>
      </c>
      <c r="E35" s="22">
        <f t="shared" si="1"/>
        <v>1.75</v>
      </c>
      <c r="F35" s="22">
        <f t="shared" si="2"/>
        <v>2.19</v>
      </c>
      <c r="G35" s="22">
        <f t="shared" si="3"/>
        <v>10.58</v>
      </c>
      <c r="H35" s="22">
        <f t="shared" si="4"/>
        <v>11.02</v>
      </c>
      <c r="J35" s="9"/>
      <c r="K35" s="11" t="s">
        <v>81</v>
      </c>
      <c r="L35" s="63" t="s">
        <v>7</v>
      </c>
      <c r="M35" s="1371"/>
      <c r="N35" s="1372"/>
      <c r="O35" s="1372"/>
      <c r="P35" s="1369"/>
      <c r="Q35" s="1370"/>
      <c r="R35" s="1392">
        <v>8.5399999999999991</v>
      </c>
      <c r="S35" s="1393">
        <v>1.75</v>
      </c>
      <c r="T35" s="1393">
        <v>2.19</v>
      </c>
      <c r="U35" s="1390">
        <f>R35+S35</f>
        <v>10.29</v>
      </c>
      <c r="V35" s="1391">
        <f>R35+T35</f>
        <v>10.729999999999999</v>
      </c>
      <c r="W35" s="561">
        <v>8.64</v>
      </c>
      <c r="X35" s="562">
        <v>1.75</v>
      </c>
      <c r="Y35" s="562">
        <v>2.19</v>
      </c>
      <c r="Z35" s="559">
        <v>10.39</v>
      </c>
      <c r="AA35" s="560">
        <v>10.83</v>
      </c>
      <c r="AB35" s="561">
        <v>8.73</v>
      </c>
      <c r="AC35" s="562">
        <v>1.75</v>
      </c>
      <c r="AD35" s="562">
        <v>2.19</v>
      </c>
      <c r="AE35" s="559">
        <v>10.48</v>
      </c>
      <c r="AF35" s="560">
        <v>10.92</v>
      </c>
      <c r="AG35" s="561">
        <v>8.83</v>
      </c>
      <c r="AH35" s="562">
        <v>1.75</v>
      </c>
      <c r="AI35" s="562">
        <v>2.19</v>
      </c>
      <c r="AJ35" s="559">
        <v>10.58</v>
      </c>
      <c r="AK35" s="560">
        <v>11.02</v>
      </c>
      <c r="AL35" s="561">
        <v>8.93</v>
      </c>
      <c r="AM35" s="562">
        <v>1.75</v>
      </c>
      <c r="AN35" s="562">
        <v>2.19</v>
      </c>
      <c r="AO35" s="559">
        <v>10.68</v>
      </c>
      <c r="AP35" s="560">
        <v>11.12</v>
      </c>
      <c r="AQ35" s="561">
        <v>9.0299999999999994</v>
      </c>
      <c r="AR35" s="562">
        <v>1.75</v>
      </c>
      <c r="AS35" s="562">
        <v>2.19</v>
      </c>
      <c r="AT35" s="559">
        <v>10.78</v>
      </c>
      <c r="AU35" s="560">
        <v>11.22</v>
      </c>
      <c r="AV35" s="561">
        <v>9.1199999999999992</v>
      </c>
      <c r="AW35" s="562">
        <v>1.75</v>
      </c>
      <c r="AX35" s="562">
        <v>2.19</v>
      </c>
      <c r="AY35" s="559">
        <v>10.87</v>
      </c>
      <c r="AZ35" s="560">
        <v>11.31</v>
      </c>
      <c r="BA35" s="561">
        <v>9.2200000000000006</v>
      </c>
      <c r="BB35" s="562">
        <v>1.75</v>
      </c>
      <c r="BC35" s="562">
        <v>2.19</v>
      </c>
      <c r="BD35" s="559">
        <v>10.97</v>
      </c>
      <c r="BE35" s="560">
        <v>11.41</v>
      </c>
      <c r="BF35" s="561">
        <v>9.32</v>
      </c>
      <c r="BG35" s="562">
        <v>1.75</v>
      </c>
      <c r="BH35" s="562">
        <v>2.19</v>
      </c>
      <c r="BI35" s="559">
        <v>11.07</v>
      </c>
      <c r="BJ35" s="560">
        <v>11.51</v>
      </c>
      <c r="BK35" s="561">
        <v>9.42</v>
      </c>
      <c r="BL35" s="562">
        <v>1.75</v>
      </c>
      <c r="BM35" s="562">
        <v>2.19</v>
      </c>
      <c r="BN35" s="559">
        <v>11.17</v>
      </c>
      <c r="BO35" s="560">
        <v>11.61</v>
      </c>
      <c r="BP35" s="561">
        <v>9.51</v>
      </c>
      <c r="BQ35" s="562">
        <v>1.75</v>
      </c>
      <c r="BR35" s="562">
        <v>2.19</v>
      </c>
      <c r="BS35" s="559">
        <v>11.26</v>
      </c>
      <c r="BT35" s="560">
        <v>11.7</v>
      </c>
      <c r="BU35" s="561">
        <v>9.61</v>
      </c>
      <c r="BV35" s="562">
        <v>1.75</v>
      </c>
      <c r="BW35" s="562">
        <v>2.19</v>
      </c>
      <c r="BX35" s="559">
        <v>11.36</v>
      </c>
      <c r="BY35" s="560">
        <v>11.8</v>
      </c>
      <c r="BZ35" s="561">
        <v>9.7100000000000009</v>
      </c>
      <c r="CA35" s="562">
        <v>1.75</v>
      </c>
      <c r="CB35" s="562">
        <v>2.19</v>
      </c>
      <c r="CC35" s="559">
        <v>11.46</v>
      </c>
      <c r="CD35" s="560">
        <v>11.9</v>
      </c>
      <c r="CE35" s="561">
        <v>9.81</v>
      </c>
      <c r="CF35" s="562">
        <v>1.75</v>
      </c>
      <c r="CG35" s="562">
        <v>2.19</v>
      </c>
      <c r="CH35" s="559">
        <v>11.56</v>
      </c>
      <c r="CI35" s="560">
        <v>12</v>
      </c>
      <c r="CJ35" s="4">
        <v>9.91</v>
      </c>
      <c r="CK35" s="4">
        <v>1.75</v>
      </c>
      <c r="CL35" s="4">
        <v>2.19</v>
      </c>
      <c r="CM35" s="4">
        <v>11.66</v>
      </c>
      <c r="CN35" s="4">
        <v>12.1</v>
      </c>
      <c r="CO35" s="4">
        <v>10</v>
      </c>
      <c r="CP35" s="4">
        <v>1.75</v>
      </c>
      <c r="CQ35" s="4">
        <v>2.19</v>
      </c>
      <c r="CR35" s="4">
        <v>11.75</v>
      </c>
      <c r="CS35" s="4">
        <v>12.19</v>
      </c>
      <c r="CT35" s="4">
        <v>10.1</v>
      </c>
      <c r="CU35" s="4">
        <v>1.75</v>
      </c>
      <c r="CV35" s="4">
        <v>2.19</v>
      </c>
      <c r="CW35" s="4">
        <v>11.85</v>
      </c>
      <c r="CX35" s="4">
        <v>12.29</v>
      </c>
      <c r="CY35" s="4">
        <v>10.199999999999999</v>
      </c>
      <c r="CZ35" s="4">
        <v>1.75</v>
      </c>
      <c r="DA35" s="4">
        <v>2.19</v>
      </c>
      <c r="DB35" s="4">
        <v>11.95</v>
      </c>
      <c r="DC35" s="4">
        <v>12.39</v>
      </c>
      <c r="DD35" s="4">
        <v>10.3</v>
      </c>
      <c r="DE35" s="4">
        <v>1.75</v>
      </c>
      <c r="DF35" s="4">
        <v>2.19</v>
      </c>
      <c r="DG35" s="4">
        <v>12.05</v>
      </c>
      <c r="DH35" s="4">
        <v>12.49</v>
      </c>
      <c r="DI35" s="4">
        <v>10.39</v>
      </c>
      <c r="DJ35" s="4">
        <v>1.75</v>
      </c>
      <c r="DK35" s="4">
        <v>2.19</v>
      </c>
      <c r="DL35" s="4">
        <v>12.14</v>
      </c>
      <c r="DM35" s="4">
        <v>12.58</v>
      </c>
      <c r="DN35" s="4">
        <v>10.49</v>
      </c>
      <c r="DO35" s="4">
        <v>1.75</v>
      </c>
      <c r="DP35" s="4">
        <v>2.19</v>
      </c>
      <c r="DQ35" s="4">
        <v>12.24</v>
      </c>
      <c r="DR35" s="4">
        <v>12.68</v>
      </c>
      <c r="DS35" s="4">
        <v>10.59</v>
      </c>
      <c r="DT35" s="4">
        <v>1.75</v>
      </c>
      <c r="DU35" s="4">
        <v>2.19</v>
      </c>
      <c r="DV35" s="4">
        <v>12.34</v>
      </c>
      <c r="DW35" s="4">
        <v>12.78</v>
      </c>
    </row>
    <row r="36" spans="1:127" ht="21.75">
      <c r="A36" s="9">
        <v>9</v>
      </c>
      <c r="B36" s="11" t="s">
        <v>82</v>
      </c>
      <c r="C36" s="57" t="s">
        <v>7</v>
      </c>
      <c r="D36" s="22">
        <f t="shared" si="0"/>
        <v>5.63</v>
      </c>
      <c r="E36" s="22">
        <f t="shared" si="1"/>
        <v>0.62</v>
      </c>
      <c r="F36" s="22">
        <f t="shared" si="2"/>
        <v>0.78</v>
      </c>
      <c r="G36" s="22">
        <f t="shared" si="3"/>
        <v>6.25</v>
      </c>
      <c r="H36" s="22">
        <f t="shared" si="4"/>
        <v>6.41</v>
      </c>
      <c r="J36" s="9">
        <v>9</v>
      </c>
      <c r="K36" s="11" t="s">
        <v>82</v>
      </c>
      <c r="L36" s="63" t="s">
        <v>7</v>
      </c>
      <c r="M36" s="1371"/>
      <c r="N36" s="1372"/>
      <c r="O36" s="1372"/>
      <c r="P36" s="1369"/>
      <c r="Q36" s="1370"/>
      <c r="R36" s="1392">
        <v>5.24</v>
      </c>
      <c r="S36" s="1393">
        <v>0.62</v>
      </c>
      <c r="T36" s="1393">
        <v>0.78</v>
      </c>
      <c r="U36" s="1390">
        <f>R36+S36</f>
        <v>5.86</v>
      </c>
      <c r="V36" s="1391">
        <f>R36+T36</f>
        <v>6.0200000000000005</v>
      </c>
      <c r="W36" s="561">
        <v>5.37</v>
      </c>
      <c r="X36" s="562">
        <v>0.62</v>
      </c>
      <c r="Y36" s="562">
        <v>0.78</v>
      </c>
      <c r="Z36" s="559">
        <v>5.99</v>
      </c>
      <c r="AA36" s="560">
        <v>6.15</v>
      </c>
      <c r="AB36" s="561">
        <v>5.5</v>
      </c>
      <c r="AC36" s="562">
        <v>0.62</v>
      </c>
      <c r="AD36" s="562">
        <v>0.78</v>
      </c>
      <c r="AE36" s="559">
        <v>6.12</v>
      </c>
      <c r="AF36" s="560">
        <v>6.28</v>
      </c>
      <c r="AG36" s="561">
        <v>5.63</v>
      </c>
      <c r="AH36" s="562">
        <v>0.62</v>
      </c>
      <c r="AI36" s="562">
        <v>0.78</v>
      </c>
      <c r="AJ36" s="559">
        <v>6.25</v>
      </c>
      <c r="AK36" s="560">
        <v>6.41</v>
      </c>
      <c r="AL36" s="561">
        <v>5.76</v>
      </c>
      <c r="AM36" s="562">
        <v>0.62</v>
      </c>
      <c r="AN36" s="562">
        <v>0.78</v>
      </c>
      <c r="AO36" s="559">
        <v>6.38</v>
      </c>
      <c r="AP36" s="560">
        <v>6.54</v>
      </c>
      <c r="AQ36" s="561">
        <v>5.89</v>
      </c>
      <c r="AR36" s="562">
        <v>0.62</v>
      </c>
      <c r="AS36" s="562">
        <v>0.78</v>
      </c>
      <c r="AT36" s="559">
        <v>6.51</v>
      </c>
      <c r="AU36" s="560">
        <v>6.67</v>
      </c>
      <c r="AV36" s="561">
        <v>6.01</v>
      </c>
      <c r="AW36" s="562">
        <v>0.62</v>
      </c>
      <c r="AX36" s="562">
        <v>0.78</v>
      </c>
      <c r="AY36" s="559">
        <v>6.63</v>
      </c>
      <c r="AZ36" s="560">
        <v>6.79</v>
      </c>
      <c r="BA36" s="561">
        <v>6.14</v>
      </c>
      <c r="BB36" s="562">
        <v>0.62</v>
      </c>
      <c r="BC36" s="562">
        <v>0.78</v>
      </c>
      <c r="BD36" s="559">
        <v>6.76</v>
      </c>
      <c r="BE36" s="560">
        <v>6.92</v>
      </c>
      <c r="BF36" s="561">
        <v>6.27</v>
      </c>
      <c r="BG36" s="562">
        <v>0.62</v>
      </c>
      <c r="BH36" s="562">
        <v>0.78</v>
      </c>
      <c r="BI36" s="559">
        <v>6.89</v>
      </c>
      <c r="BJ36" s="560">
        <v>7.05</v>
      </c>
      <c r="BK36" s="561">
        <v>6.4</v>
      </c>
      <c r="BL36" s="562">
        <v>0.62</v>
      </c>
      <c r="BM36" s="562">
        <v>0.78</v>
      </c>
      <c r="BN36" s="559">
        <v>7.02</v>
      </c>
      <c r="BO36" s="560">
        <v>7.18</v>
      </c>
      <c r="BP36" s="561">
        <v>6.53</v>
      </c>
      <c r="BQ36" s="562">
        <v>0.62</v>
      </c>
      <c r="BR36" s="562">
        <v>0.78</v>
      </c>
      <c r="BS36" s="559">
        <v>7.15</v>
      </c>
      <c r="BT36" s="560">
        <v>7.31</v>
      </c>
      <c r="BU36" s="561">
        <v>6.66</v>
      </c>
      <c r="BV36" s="562">
        <v>0.62</v>
      </c>
      <c r="BW36" s="562">
        <v>0.78</v>
      </c>
      <c r="BX36" s="559">
        <v>7.28</v>
      </c>
      <c r="BY36" s="560">
        <v>7.44</v>
      </c>
      <c r="BZ36" s="561">
        <v>6.79</v>
      </c>
      <c r="CA36" s="562">
        <v>0.62</v>
      </c>
      <c r="CB36" s="562">
        <v>0.78</v>
      </c>
      <c r="CC36" s="559">
        <v>7.41</v>
      </c>
      <c r="CD36" s="560">
        <v>7.57</v>
      </c>
      <c r="CE36" s="561">
        <v>6.92</v>
      </c>
      <c r="CF36" s="562">
        <v>0.62</v>
      </c>
      <c r="CG36" s="562">
        <v>0.78</v>
      </c>
      <c r="CH36" s="559">
        <v>7.54</v>
      </c>
      <c r="CI36" s="560">
        <v>7.7</v>
      </c>
      <c r="CJ36" s="4">
        <v>6.92</v>
      </c>
      <c r="CK36" s="4">
        <v>7.05</v>
      </c>
      <c r="CL36" s="4">
        <v>0.62</v>
      </c>
      <c r="CM36" s="4">
        <v>0.78</v>
      </c>
      <c r="CN36" s="4">
        <v>7.67</v>
      </c>
      <c r="CO36" s="4">
        <v>7.17</v>
      </c>
      <c r="CP36" s="4">
        <v>0.62</v>
      </c>
      <c r="CQ36" s="4">
        <v>0.78</v>
      </c>
      <c r="CR36" s="4">
        <v>7.79</v>
      </c>
      <c r="CS36" s="4">
        <v>7.95</v>
      </c>
      <c r="CT36" s="4">
        <v>7.3</v>
      </c>
      <c r="CU36" s="4">
        <v>0.62</v>
      </c>
      <c r="CV36" s="4">
        <v>0.78</v>
      </c>
      <c r="CW36" s="4">
        <v>7.92</v>
      </c>
      <c r="CX36" s="4">
        <v>8.08</v>
      </c>
      <c r="CY36" s="4">
        <v>7.43</v>
      </c>
      <c r="CZ36" s="4">
        <v>0.62</v>
      </c>
      <c r="DA36" s="4">
        <v>0.78</v>
      </c>
      <c r="DB36" s="4">
        <v>8.0500000000000007</v>
      </c>
      <c r="DC36" s="4">
        <v>8.2100000000000009</v>
      </c>
      <c r="DD36" s="4">
        <v>7.56</v>
      </c>
      <c r="DE36" s="4">
        <v>0.62</v>
      </c>
      <c r="DF36" s="4">
        <v>0.78</v>
      </c>
      <c r="DG36" s="4">
        <v>8.18</v>
      </c>
      <c r="DH36" s="4">
        <v>8.34</v>
      </c>
      <c r="DI36" s="4">
        <v>7.69</v>
      </c>
      <c r="DJ36" s="4">
        <v>0.62</v>
      </c>
      <c r="DK36" s="4">
        <v>0.78</v>
      </c>
      <c r="DL36" s="4">
        <v>8.31</v>
      </c>
      <c r="DM36" s="4">
        <v>8.4700000000000006</v>
      </c>
      <c r="DN36" s="4">
        <v>7.82</v>
      </c>
      <c r="DO36" s="4">
        <v>0.62</v>
      </c>
      <c r="DP36" s="4">
        <v>0.78</v>
      </c>
      <c r="DQ36" s="4">
        <v>8.44</v>
      </c>
      <c r="DR36" s="4">
        <v>8.6</v>
      </c>
      <c r="DS36" s="4">
        <v>7.95</v>
      </c>
      <c r="DT36" s="4">
        <v>0.62</v>
      </c>
      <c r="DU36" s="4">
        <v>0.78</v>
      </c>
      <c r="DV36" s="4">
        <v>8.57</v>
      </c>
      <c r="DW36" s="4">
        <v>8.73</v>
      </c>
    </row>
    <row r="37" spans="1:127" ht="21.75">
      <c r="A37" s="9">
        <v>10</v>
      </c>
      <c r="B37" s="11" t="s">
        <v>83</v>
      </c>
      <c r="C37" s="57" t="s">
        <v>7</v>
      </c>
      <c r="D37" s="22">
        <f t="shared" si="0"/>
        <v>5.22</v>
      </c>
      <c r="E37" s="22">
        <f t="shared" si="1"/>
        <v>0.88</v>
      </c>
      <c r="F37" s="22">
        <f t="shared" si="2"/>
        <v>1.1000000000000001</v>
      </c>
      <c r="G37" s="22">
        <f t="shared" si="3"/>
        <v>6.1</v>
      </c>
      <c r="H37" s="22">
        <f t="shared" si="4"/>
        <v>6.32</v>
      </c>
      <c r="J37" s="9">
        <v>10</v>
      </c>
      <c r="K37" s="11" t="s">
        <v>83</v>
      </c>
      <c r="L37" s="63" t="s">
        <v>7</v>
      </c>
      <c r="M37" s="1371"/>
      <c r="N37" s="1372"/>
      <c r="O37" s="1372"/>
      <c r="P37" s="1369"/>
      <c r="Q37" s="1370"/>
      <c r="R37" s="1392">
        <v>4.8600000000000003</v>
      </c>
      <c r="S37" s="1393">
        <v>0.88</v>
      </c>
      <c r="T37" s="1393">
        <v>1.1000000000000001</v>
      </c>
      <c r="U37" s="1390">
        <f>R37+S37</f>
        <v>5.74</v>
      </c>
      <c r="V37" s="1391">
        <f>R37+T37</f>
        <v>5.9600000000000009</v>
      </c>
      <c r="W37" s="561">
        <v>4.9800000000000004</v>
      </c>
      <c r="X37" s="562">
        <v>0.88</v>
      </c>
      <c r="Y37" s="562">
        <v>1.1000000000000001</v>
      </c>
      <c r="Z37" s="559">
        <v>5.86</v>
      </c>
      <c r="AA37" s="560">
        <v>6.08</v>
      </c>
      <c r="AB37" s="561">
        <v>5.0999999999999996</v>
      </c>
      <c r="AC37" s="562">
        <v>0.88</v>
      </c>
      <c r="AD37" s="562">
        <v>1.1000000000000001</v>
      </c>
      <c r="AE37" s="559">
        <v>5.98</v>
      </c>
      <c r="AF37" s="560">
        <v>6.2</v>
      </c>
      <c r="AG37" s="561">
        <v>5.22</v>
      </c>
      <c r="AH37" s="562">
        <v>0.88</v>
      </c>
      <c r="AI37" s="562">
        <v>1.1000000000000001</v>
      </c>
      <c r="AJ37" s="559">
        <v>6.1</v>
      </c>
      <c r="AK37" s="560">
        <v>6.32</v>
      </c>
      <c r="AL37" s="561">
        <v>5.34</v>
      </c>
      <c r="AM37" s="562">
        <v>0.88</v>
      </c>
      <c r="AN37" s="562">
        <v>1.1000000000000001</v>
      </c>
      <c r="AO37" s="559">
        <v>6.22</v>
      </c>
      <c r="AP37" s="560">
        <v>6.44</v>
      </c>
      <c r="AQ37" s="561">
        <v>5.46</v>
      </c>
      <c r="AR37" s="562">
        <v>0.88</v>
      </c>
      <c r="AS37" s="562">
        <v>1.1000000000000001</v>
      </c>
      <c r="AT37" s="559">
        <v>6.34</v>
      </c>
      <c r="AU37" s="560">
        <v>6.56</v>
      </c>
      <c r="AV37" s="561">
        <v>5.57</v>
      </c>
      <c r="AW37" s="562">
        <v>0.88</v>
      </c>
      <c r="AX37" s="562">
        <v>1.1000000000000001</v>
      </c>
      <c r="AY37" s="559">
        <v>6.45</v>
      </c>
      <c r="AZ37" s="560">
        <v>6.67</v>
      </c>
      <c r="BA37" s="561">
        <v>5.69</v>
      </c>
      <c r="BB37" s="562">
        <v>0.88</v>
      </c>
      <c r="BC37" s="562">
        <v>1.1000000000000001</v>
      </c>
      <c r="BD37" s="559">
        <v>6.57</v>
      </c>
      <c r="BE37" s="560">
        <v>6.79</v>
      </c>
      <c r="BF37" s="561">
        <v>5.81</v>
      </c>
      <c r="BG37" s="562">
        <v>0.88</v>
      </c>
      <c r="BH37" s="562">
        <v>1.1000000000000001</v>
      </c>
      <c r="BI37" s="559">
        <v>6.69</v>
      </c>
      <c r="BJ37" s="560">
        <v>6.91</v>
      </c>
      <c r="BK37" s="561">
        <v>5.93</v>
      </c>
      <c r="BL37" s="562">
        <v>0.88</v>
      </c>
      <c r="BM37" s="562">
        <v>1.1000000000000001</v>
      </c>
      <c r="BN37" s="559">
        <v>6.81</v>
      </c>
      <c r="BO37" s="560">
        <v>7.03</v>
      </c>
      <c r="BP37" s="561">
        <v>6.05</v>
      </c>
      <c r="BQ37" s="562">
        <v>0.88</v>
      </c>
      <c r="BR37" s="562">
        <v>1.1000000000000001</v>
      </c>
      <c r="BS37" s="559">
        <v>6.93</v>
      </c>
      <c r="BT37" s="560">
        <v>7.15</v>
      </c>
      <c r="BU37" s="561">
        <v>6.17</v>
      </c>
      <c r="BV37" s="562">
        <v>0.88</v>
      </c>
      <c r="BW37" s="562">
        <v>1.1000000000000001</v>
      </c>
      <c r="BX37" s="559">
        <v>7.05</v>
      </c>
      <c r="BY37" s="560">
        <v>7.27</v>
      </c>
      <c r="BZ37" s="561">
        <v>6.29</v>
      </c>
      <c r="CA37" s="562">
        <v>0.88</v>
      </c>
      <c r="CB37" s="562">
        <v>1.1000000000000001</v>
      </c>
      <c r="CC37" s="559">
        <v>7.17</v>
      </c>
      <c r="CD37" s="560">
        <v>7.39</v>
      </c>
      <c r="CE37" s="561">
        <v>6.41</v>
      </c>
      <c r="CF37" s="562">
        <v>0.88</v>
      </c>
      <c r="CG37" s="562">
        <v>1.1000000000000001</v>
      </c>
      <c r="CH37" s="559">
        <v>7.29</v>
      </c>
      <c r="CI37" s="560">
        <v>7.51</v>
      </c>
      <c r="CJ37" s="4">
        <v>6.53</v>
      </c>
      <c r="CK37" s="4">
        <v>0.88</v>
      </c>
      <c r="CL37" s="4">
        <v>1.1000000000000001</v>
      </c>
      <c r="CM37" s="4">
        <v>7.41</v>
      </c>
      <c r="CN37" s="4">
        <v>7.63</v>
      </c>
      <c r="CO37" s="4">
        <v>6.65</v>
      </c>
      <c r="CP37" s="4">
        <v>0.88</v>
      </c>
      <c r="CQ37" s="4">
        <v>1.1000000000000001</v>
      </c>
      <c r="CR37" s="4">
        <v>7.53</v>
      </c>
      <c r="CS37" s="4">
        <v>7.75</v>
      </c>
      <c r="CT37" s="4">
        <v>6.77</v>
      </c>
      <c r="CU37" s="4">
        <v>0.88</v>
      </c>
      <c r="CV37" s="4">
        <v>1.1000000000000001</v>
      </c>
      <c r="CW37" s="4">
        <v>7.65</v>
      </c>
      <c r="CX37" s="4">
        <v>7.87</v>
      </c>
      <c r="CY37" s="4">
        <v>6.89</v>
      </c>
      <c r="CZ37" s="4">
        <v>0.88</v>
      </c>
      <c r="DA37" s="4">
        <v>1.1000000000000001</v>
      </c>
      <c r="DB37" s="4">
        <v>7.77</v>
      </c>
      <c r="DC37" s="4">
        <v>7.99</v>
      </c>
      <c r="DD37" s="4">
        <v>7.01</v>
      </c>
      <c r="DE37" s="4">
        <v>0.88</v>
      </c>
      <c r="DF37" s="4">
        <v>1.1000000000000001</v>
      </c>
      <c r="DG37" s="4">
        <v>7.89</v>
      </c>
      <c r="DH37" s="4">
        <v>8.11</v>
      </c>
      <c r="DI37" s="4">
        <v>7.13</v>
      </c>
      <c r="DJ37" s="4">
        <v>0.88</v>
      </c>
      <c r="DK37" s="4">
        <v>1.1000000000000001</v>
      </c>
      <c r="DL37" s="4">
        <v>8.01</v>
      </c>
      <c r="DM37" s="4">
        <v>8.23</v>
      </c>
      <c r="DN37" s="4">
        <v>7.25</v>
      </c>
      <c r="DO37" s="4">
        <v>0.88</v>
      </c>
      <c r="DP37" s="4">
        <v>1.1000000000000001</v>
      </c>
      <c r="DQ37" s="4">
        <v>8.1300000000000008</v>
      </c>
      <c r="DR37" s="4">
        <v>8.35</v>
      </c>
      <c r="DS37" s="4">
        <v>7.37</v>
      </c>
      <c r="DT37" s="4">
        <v>0.88</v>
      </c>
      <c r="DU37" s="4">
        <v>1.1000000000000001</v>
      </c>
      <c r="DV37" s="4">
        <v>8.25</v>
      </c>
      <c r="DW37" s="4">
        <v>8.4700000000000006</v>
      </c>
    </row>
    <row r="38" spans="1:127" ht="21.75">
      <c r="A38" s="9">
        <v>11</v>
      </c>
      <c r="B38" s="11" t="s">
        <v>84</v>
      </c>
      <c r="C38" s="57"/>
      <c r="D38" s="22"/>
      <c r="E38" s="22"/>
      <c r="F38" s="22"/>
      <c r="G38" s="22"/>
      <c r="H38" s="22"/>
      <c r="J38" s="9">
        <v>11</v>
      </c>
      <c r="K38" s="11" t="s">
        <v>84</v>
      </c>
      <c r="L38" s="63"/>
      <c r="M38" s="1371"/>
      <c r="N38" s="1372"/>
      <c r="O38" s="1372"/>
      <c r="P38" s="1372"/>
      <c r="Q38" s="1373"/>
      <c r="R38" s="1392"/>
      <c r="S38" s="1393"/>
      <c r="T38" s="1393"/>
      <c r="U38" s="1393"/>
      <c r="V38" s="1394"/>
      <c r="W38" s="561"/>
      <c r="X38" s="562"/>
      <c r="Y38" s="562"/>
      <c r="Z38" s="562"/>
      <c r="AA38" s="563"/>
      <c r="AB38" s="561"/>
      <c r="AC38" s="562"/>
      <c r="AD38" s="562"/>
      <c r="AE38" s="562"/>
      <c r="AF38" s="563"/>
      <c r="AG38" s="561"/>
      <c r="AH38" s="562"/>
      <c r="AI38" s="562"/>
      <c r="AJ38" s="562"/>
      <c r="AK38" s="563"/>
      <c r="AL38" s="561"/>
      <c r="AM38" s="562"/>
      <c r="AN38" s="562"/>
      <c r="AO38" s="562"/>
      <c r="AP38" s="563"/>
      <c r="AQ38" s="561"/>
      <c r="AR38" s="562"/>
      <c r="AS38" s="562"/>
      <c r="AT38" s="562"/>
      <c r="AU38" s="563"/>
      <c r="AV38" s="561"/>
      <c r="AW38" s="562"/>
      <c r="AX38" s="562"/>
      <c r="AY38" s="562"/>
      <c r="AZ38" s="563"/>
      <c r="BA38" s="561"/>
      <c r="BB38" s="562"/>
      <c r="BC38" s="562"/>
      <c r="BD38" s="562"/>
      <c r="BE38" s="563"/>
      <c r="BF38" s="561"/>
      <c r="BG38" s="562"/>
      <c r="BH38" s="562"/>
      <c r="BI38" s="562"/>
      <c r="BJ38" s="563"/>
      <c r="BK38" s="561"/>
      <c r="BL38" s="562"/>
      <c r="BM38" s="562"/>
      <c r="BN38" s="562"/>
      <c r="BO38" s="563"/>
      <c r="BP38" s="561"/>
      <c r="BQ38" s="562"/>
      <c r="BR38" s="562"/>
      <c r="BS38" s="562"/>
      <c r="BT38" s="563"/>
      <c r="BU38" s="561"/>
      <c r="BV38" s="562"/>
      <c r="BW38" s="562"/>
      <c r="BX38" s="562"/>
      <c r="BY38" s="563"/>
      <c r="BZ38" s="561"/>
      <c r="CA38" s="562"/>
      <c r="CB38" s="562"/>
      <c r="CC38" s="562"/>
      <c r="CD38" s="563"/>
      <c r="CE38" s="561"/>
      <c r="CF38" s="562"/>
      <c r="CG38" s="562"/>
      <c r="CH38" s="562"/>
      <c r="CI38" s="563"/>
    </row>
    <row r="39" spans="1:127" ht="21.75">
      <c r="A39" s="9"/>
      <c r="B39" s="11" t="s">
        <v>85</v>
      </c>
      <c r="C39" s="57" t="s">
        <v>7</v>
      </c>
      <c r="D39" s="22">
        <f t="shared" si="0"/>
        <v>12.34</v>
      </c>
      <c r="E39" s="22">
        <f t="shared" si="1"/>
        <v>2.21</v>
      </c>
      <c r="F39" s="22">
        <f t="shared" si="2"/>
        <v>2.76</v>
      </c>
      <c r="G39" s="22">
        <f t="shared" si="3"/>
        <v>14.55</v>
      </c>
      <c r="H39" s="22">
        <f t="shared" si="4"/>
        <v>15.1</v>
      </c>
      <c r="J39" s="9"/>
      <c r="K39" s="11" t="s">
        <v>85</v>
      </c>
      <c r="L39" s="63" t="s">
        <v>7</v>
      </c>
      <c r="M39" s="1371"/>
      <c r="N39" s="1372"/>
      <c r="O39" s="1372"/>
      <c r="P39" s="1369"/>
      <c r="Q39" s="1370"/>
      <c r="R39" s="1392">
        <v>11.56</v>
      </c>
      <c r="S39" s="1393">
        <v>2.21</v>
      </c>
      <c r="T39" s="1393">
        <v>2.76</v>
      </c>
      <c r="U39" s="1390">
        <f>R39+S39</f>
        <v>13.77</v>
      </c>
      <c r="V39" s="1391">
        <f>R39+T39</f>
        <v>14.32</v>
      </c>
      <c r="W39" s="561">
        <v>11.82</v>
      </c>
      <c r="X39" s="562">
        <v>2.21</v>
      </c>
      <c r="Y39" s="562">
        <v>2.76</v>
      </c>
      <c r="Z39" s="559">
        <v>14.03</v>
      </c>
      <c r="AA39" s="560">
        <v>14.58</v>
      </c>
      <c r="AB39" s="561">
        <v>12.08</v>
      </c>
      <c r="AC39" s="562">
        <v>2.21</v>
      </c>
      <c r="AD39" s="562">
        <v>2.76</v>
      </c>
      <c r="AE39" s="559">
        <v>14.29</v>
      </c>
      <c r="AF39" s="560">
        <v>18.84</v>
      </c>
      <c r="AG39" s="561">
        <v>12.34</v>
      </c>
      <c r="AH39" s="562">
        <v>2.21</v>
      </c>
      <c r="AI39" s="562">
        <v>2.76</v>
      </c>
      <c r="AJ39" s="559">
        <v>14.55</v>
      </c>
      <c r="AK39" s="560">
        <v>15.1</v>
      </c>
      <c r="AL39" s="561">
        <v>12.6</v>
      </c>
      <c r="AM39" s="562">
        <v>2.21</v>
      </c>
      <c r="AN39" s="562">
        <v>2.76</v>
      </c>
      <c r="AO39" s="559">
        <v>14.81</v>
      </c>
      <c r="AP39" s="560">
        <v>15.36</v>
      </c>
      <c r="AQ39" s="561">
        <v>12.86</v>
      </c>
      <c r="AR39" s="562">
        <v>2.21</v>
      </c>
      <c r="AS39" s="562">
        <v>2.76</v>
      </c>
      <c r="AT39" s="559">
        <v>15.07</v>
      </c>
      <c r="AU39" s="560">
        <v>15.62</v>
      </c>
      <c r="AV39" s="561">
        <v>13.12</v>
      </c>
      <c r="AW39" s="562">
        <v>2.21</v>
      </c>
      <c r="AX39" s="562">
        <v>2.76</v>
      </c>
      <c r="AY39" s="559">
        <v>15.33</v>
      </c>
      <c r="AZ39" s="560">
        <v>15.88</v>
      </c>
      <c r="BA39" s="561">
        <v>13.38</v>
      </c>
      <c r="BB39" s="562">
        <v>2.21</v>
      </c>
      <c r="BC39" s="562">
        <v>2.76</v>
      </c>
      <c r="BD39" s="559">
        <v>15.59</v>
      </c>
      <c r="BE39" s="560">
        <v>16.14</v>
      </c>
      <c r="BF39" s="561">
        <v>13.64</v>
      </c>
      <c r="BG39" s="562">
        <v>2.21</v>
      </c>
      <c r="BH39" s="562">
        <v>2.76</v>
      </c>
      <c r="BI39" s="559">
        <v>15.85</v>
      </c>
      <c r="BJ39" s="560">
        <v>16.399999999999999</v>
      </c>
      <c r="BK39" s="561">
        <v>13.9</v>
      </c>
      <c r="BL39" s="562">
        <v>2.21</v>
      </c>
      <c r="BM39" s="562">
        <v>2.76</v>
      </c>
      <c r="BN39" s="559">
        <v>16.11</v>
      </c>
      <c r="BO39" s="560">
        <v>16.66</v>
      </c>
      <c r="BP39" s="561">
        <v>14.16</v>
      </c>
      <c r="BQ39" s="562">
        <v>2.21</v>
      </c>
      <c r="BR39" s="562">
        <v>2.76</v>
      </c>
      <c r="BS39" s="559">
        <v>16.37</v>
      </c>
      <c r="BT39" s="560">
        <v>16.920000000000002</v>
      </c>
      <c r="BU39" s="561">
        <v>14.42</v>
      </c>
      <c r="BV39" s="562">
        <v>2.21</v>
      </c>
      <c r="BW39" s="562">
        <v>2.76</v>
      </c>
      <c r="BX39" s="559">
        <v>16.63</v>
      </c>
      <c r="BY39" s="560">
        <v>17.18</v>
      </c>
      <c r="BZ39" s="561">
        <v>14.68</v>
      </c>
      <c r="CA39" s="562">
        <v>2.21</v>
      </c>
      <c r="CB39" s="562">
        <v>2.76</v>
      </c>
      <c r="CC39" s="559">
        <v>16.89</v>
      </c>
      <c r="CD39" s="560">
        <v>17.440000000000001</v>
      </c>
      <c r="CE39" s="561">
        <v>14.94</v>
      </c>
      <c r="CF39" s="562">
        <v>2.21</v>
      </c>
      <c r="CG39" s="562">
        <v>2.76</v>
      </c>
      <c r="CH39" s="559">
        <v>17.149999999999999</v>
      </c>
      <c r="CI39" s="560">
        <v>17.7</v>
      </c>
      <c r="CJ39" s="4">
        <v>15.2</v>
      </c>
      <c r="CK39" s="4">
        <v>2.21</v>
      </c>
      <c r="CL39" s="4">
        <v>2.76</v>
      </c>
      <c r="CM39" s="4">
        <v>17.41</v>
      </c>
      <c r="CN39" s="4">
        <v>17.96</v>
      </c>
      <c r="CO39" s="4">
        <v>15.46</v>
      </c>
      <c r="CP39" s="4">
        <v>2.21</v>
      </c>
      <c r="CQ39" s="4">
        <v>2.76</v>
      </c>
      <c r="CR39" s="4">
        <v>17.670000000000002</v>
      </c>
      <c r="CS39" s="4">
        <v>18.22</v>
      </c>
      <c r="CT39" s="4">
        <v>15.72</v>
      </c>
      <c r="CU39" s="4">
        <v>2.21</v>
      </c>
      <c r="CV39" s="4">
        <v>2.76</v>
      </c>
      <c r="CW39" s="4">
        <v>17.93</v>
      </c>
      <c r="CX39" s="4">
        <v>18.48</v>
      </c>
      <c r="CY39" s="4">
        <v>15.98</v>
      </c>
      <c r="CZ39" s="4">
        <v>2.21</v>
      </c>
      <c r="DA39" s="4">
        <v>2.76</v>
      </c>
      <c r="DB39" s="4">
        <v>18.190000000000001</v>
      </c>
      <c r="DC39" s="4">
        <v>18.739999999999998</v>
      </c>
      <c r="DD39" s="4">
        <v>16.239999999999998</v>
      </c>
      <c r="DE39" s="4">
        <v>2.21</v>
      </c>
      <c r="DF39" s="4">
        <v>2.76</v>
      </c>
      <c r="DG39" s="4">
        <v>18.45</v>
      </c>
      <c r="DH39" s="4">
        <v>19</v>
      </c>
      <c r="DI39" s="4">
        <v>16.5</v>
      </c>
      <c r="DJ39" s="4">
        <v>2.21</v>
      </c>
      <c r="DK39" s="4">
        <v>2.76</v>
      </c>
      <c r="DL39" s="4">
        <v>18.71</v>
      </c>
      <c r="DM39" s="4">
        <v>19.260000000000002</v>
      </c>
      <c r="DN39" s="4">
        <v>16.760000000000002</v>
      </c>
      <c r="DO39" s="4">
        <v>2.21</v>
      </c>
      <c r="DP39" s="4">
        <v>2.76</v>
      </c>
      <c r="DQ39" s="4">
        <v>18.97</v>
      </c>
      <c r="DR39" s="4">
        <v>19.52</v>
      </c>
      <c r="DS39" s="4">
        <v>17.02</v>
      </c>
      <c r="DT39" s="4">
        <v>2.21</v>
      </c>
      <c r="DU39" s="4">
        <v>2.76</v>
      </c>
      <c r="DV39" s="4">
        <v>19.23</v>
      </c>
      <c r="DW39" s="4">
        <v>19.78</v>
      </c>
    </row>
    <row r="40" spans="1:127" ht="21.75">
      <c r="A40" s="9"/>
      <c r="B40" s="11" t="s">
        <v>86</v>
      </c>
      <c r="C40" s="57" t="s">
        <v>7</v>
      </c>
      <c r="D40" s="22">
        <f t="shared" si="0"/>
        <v>17.05</v>
      </c>
      <c r="E40" s="22">
        <f t="shared" si="1"/>
        <v>3.05</v>
      </c>
      <c r="F40" s="22">
        <f t="shared" si="2"/>
        <v>3.81</v>
      </c>
      <c r="G40" s="22">
        <f t="shared" si="3"/>
        <v>20.100000000000001</v>
      </c>
      <c r="H40" s="22">
        <f t="shared" si="4"/>
        <v>20.86</v>
      </c>
      <c r="J40" s="9"/>
      <c r="K40" s="11" t="s">
        <v>86</v>
      </c>
      <c r="L40" s="63" t="s">
        <v>7</v>
      </c>
      <c r="M40" s="1371"/>
      <c r="N40" s="1372"/>
      <c r="O40" s="1372"/>
      <c r="P40" s="1369"/>
      <c r="Q40" s="1370"/>
      <c r="R40" s="1392">
        <v>15.97</v>
      </c>
      <c r="S40" s="1393">
        <v>3.05</v>
      </c>
      <c r="T40" s="1393">
        <v>3.81</v>
      </c>
      <c r="U40" s="1390">
        <f>R40+S40</f>
        <v>19.02</v>
      </c>
      <c r="V40" s="1391">
        <f>R40+T40</f>
        <v>19.78</v>
      </c>
      <c r="W40" s="561">
        <v>16.329999999999998</v>
      </c>
      <c r="X40" s="562">
        <v>3.05</v>
      </c>
      <c r="Y40" s="562">
        <v>3.81</v>
      </c>
      <c r="Z40" s="559">
        <v>19.38</v>
      </c>
      <c r="AA40" s="560">
        <v>20.14</v>
      </c>
      <c r="AB40" s="561">
        <v>16.690000000000001</v>
      </c>
      <c r="AC40" s="562">
        <v>3.05</v>
      </c>
      <c r="AD40" s="562">
        <v>3.81</v>
      </c>
      <c r="AE40" s="559">
        <v>19.739999999999998</v>
      </c>
      <c r="AF40" s="560">
        <v>20.5</v>
      </c>
      <c r="AG40" s="561">
        <v>17.05</v>
      </c>
      <c r="AH40" s="562">
        <v>3.05</v>
      </c>
      <c r="AI40" s="562">
        <v>3.81</v>
      </c>
      <c r="AJ40" s="559">
        <v>20.100000000000001</v>
      </c>
      <c r="AK40" s="560">
        <v>20.86</v>
      </c>
      <c r="AL40" s="561">
        <v>17.41</v>
      </c>
      <c r="AM40" s="562">
        <v>3.05</v>
      </c>
      <c r="AN40" s="562">
        <v>3.81</v>
      </c>
      <c r="AO40" s="559">
        <v>20.46</v>
      </c>
      <c r="AP40" s="560">
        <v>21.22</v>
      </c>
      <c r="AQ40" s="561">
        <v>17.77</v>
      </c>
      <c r="AR40" s="562">
        <v>3.05</v>
      </c>
      <c r="AS40" s="562">
        <v>3.81</v>
      </c>
      <c r="AT40" s="559">
        <v>20.82</v>
      </c>
      <c r="AU40" s="560">
        <v>21.58</v>
      </c>
      <c r="AV40" s="561">
        <v>18.13</v>
      </c>
      <c r="AW40" s="562">
        <v>3.05</v>
      </c>
      <c r="AX40" s="562">
        <v>3.81</v>
      </c>
      <c r="AY40" s="559">
        <v>21.18</v>
      </c>
      <c r="AZ40" s="560">
        <v>21.94</v>
      </c>
      <c r="BA40" s="561">
        <v>18.489999999999998</v>
      </c>
      <c r="BB40" s="562">
        <v>3.05</v>
      </c>
      <c r="BC40" s="562">
        <v>3.81</v>
      </c>
      <c r="BD40" s="559">
        <v>21.54</v>
      </c>
      <c r="BE40" s="560">
        <v>22.3</v>
      </c>
      <c r="BF40" s="561">
        <v>18.850000000000001</v>
      </c>
      <c r="BG40" s="562">
        <v>3.05</v>
      </c>
      <c r="BH40" s="562">
        <v>3.81</v>
      </c>
      <c r="BI40" s="559">
        <v>21.9</v>
      </c>
      <c r="BJ40" s="560">
        <v>22.66</v>
      </c>
      <c r="BK40" s="561">
        <v>19.21</v>
      </c>
      <c r="BL40" s="562">
        <v>3.05</v>
      </c>
      <c r="BM40" s="562">
        <v>3.81</v>
      </c>
      <c r="BN40" s="559">
        <v>22.26</v>
      </c>
      <c r="BO40" s="560">
        <v>23.02</v>
      </c>
      <c r="BP40" s="561">
        <v>19.57</v>
      </c>
      <c r="BQ40" s="562">
        <v>3.05</v>
      </c>
      <c r="BR40" s="562">
        <v>3.81</v>
      </c>
      <c r="BS40" s="559">
        <v>22.62</v>
      </c>
      <c r="BT40" s="560">
        <v>23.38</v>
      </c>
      <c r="BU40" s="561">
        <v>19.93</v>
      </c>
      <c r="BV40" s="562">
        <v>3.05</v>
      </c>
      <c r="BW40" s="562">
        <v>3.81</v>
      </c>
      <c r="BX40" s="559">
        <v>22.98</v>
      </c>
      <c r="BY40" s="560">
        <v>23.74</v>
      </c>
      <c r="BZ40" s="561">
        <v>20.28</v>
      </c>
      <c r="CA40" s="562">
        <v>3.05</v>
      </c>
      <c r="CB40" s="562">
        <v>3.81</v>
      </c>
      <c r="CC40" s="559">
        <v>23.33</v>
      </c>
      <c r="CD40" s="560">
        <v>24.09</v>
      </c>
      <c r="CE40" s="561">
        <v>20.64</v>
      </c>
      <c r="CF40" s="562">
        <v>6.05</v>
      </c>
      <c r="CG40" s="562">
        <v>3.81</v>
      </c>
      <c r="CH40" s="559">
        <v>23.69</v>
      </c>
      <c r="CI40" s="560">
        <v>24.45</v>
      </c>
      <c r="CJ40" s="4">
        <v>21</v>
      </c>
      <c r="CK40" s="4">
        <v>3.05</v>
      </c>
      <c r="CL40" s="4">
        <v>3.81</v>
      </c>
      <c r="CM40" s="4">
        <v>24.05</v>
      </c>
      <c r="CN40" s="4">
        <v>24.81</v>
      </c>
      <c r="CO40" s="4">
        <v>21.36</v>
      </c>
      <c r="CP40" s="4">
        <v>3.05</v>
      </c>
      <c r="CQ40" s="4">
        <v>3.81</v>
      </c>
      <c r="CR40" s="4">
        <v>24.41</v>
      </c>
      <c r="CS40" s="4">
        <v>25.17</v>
      </c>
      <c r="CT40" s="4">
        <v>21.72</v>
      </c>
      <c r="CU40" s="4">
        <v>3.05</v>
      </c>
      <c r="CV40" s="4">
        <v>3.81</v>
      </c>
      <c r="CW40" s="4">
        <v>24.77</v>
      </c>
      <c r="CX40" s="4">
        <v>25.53</v>
      </c>
      <c r="CY40" s="4">
        <v>22.08</v>
      </c>
      <c r="CZ40" s="4">
        <v>3.05</v>
      </c>
      <c r="DA40" s="4">
        <v>3.81</v>
      </c>
      <c r="DB40" s="4">
        <v>25.13</v>
      </c>
      <c r="DC40" s="4">
        <v>25.89</v>
      </c>
      <c r="DD40" s="4">
        <v>22.44</v>
      </c>
      <c r="DE40" s="4">
        <v>3.05</v>
      </c>
      <c r="DF40" s="4">
        <v>3.81</v>
      </c>
      <c r="DG40" s="4">
        <v>25.49</v>
      </c>
      <c r="DH40" s="4">
        <v>26.25</v>
      </c>
      <c r="DI40" s="4">
        <v>22.8</v>
      </c>
      <c r="DJ40" s="4">
        <v>3.05</v>
      </c>
      <c r="DK40" s="4">
        <v>3.81</v>
      </c>
      <c r="DL40" s="4">
        <v>25.85</v>
      </c>
      <c r="DM40" s="4">
        <v>26.61</v>
      </c>
      <c r="DN40" s="4">
        <v>23.16</v>
      </c>
      <c r="DO40" s="4">
        <v>3.05</v>
      </c>
      <c r="DP40" s="4">
        <v>3.81</v>
      </c>
      <c r="DQ40" s="4">
        <v>26.21</v>
      </c>
      <c r="DR40" s="4">
        <v>26.97</v>
      </c>
      <c r="DS40" s="4">
        <v>23.52</v>
      </c>
      <c r="DT40" s="4">
        <v>3.05</v>
      </c>
      <c r="DU40" s="4">
        <v>3.81</v>
      </c>
      <c r="DV40" s="4">
        <v>26.57</v>
      </c>
      <c r="DW40" s="4">
        <v>27.33</v>
      </c>
    </row>
    <row r="41" spans="1:127" ht="21.75">
      <c r="A41" s="9"/>
      <c r="B41" s="11" t="s">
        <v>87</v>
      </c>
      <c r="C41" s="57" t="s">
        <v>7</v>
      </c>
      <c r="D41" s="22">
        <f t="shared" si="0"/>
        <v>25.35</v>
      </c>
      <c r="E41" s="22">
        <f t="shared" si="1"/>
        <v>4.54</v>
      </c>
      <c r="F41" s="22">
        <f t="shared" si="2"/>
        <v>4.68</v>
      </c>
      <c r="G41" s="22">
        <f t="shared" si="3"/>
        <v>29.89</v>
      </c>
      <c r="H41" s="22">
        <f t="shared" si="4"/>
        <v>31.03</v>
      </c>
      <c r="J41" s="9"/>
      <c r="K41" s="11" t="s">
        <v>87</v>
      </c>
      <c r="L41" s="63" t="s">
        <v>7</v>
      </c>
      <c r="M41" s="1371"/>
      <c r="N41" s="1372"/>
      <c r="O41" s="1372"/>
      <c r="P41" s="1369"/>
      <c r="Q41" s="1370"/>
      <c r="R41" s="1392">
        <v>23.75</v>
      </c>
      <c r="S41" s="1393">
        <v>4.54</v>
      </c>
      <c r="T41" s="1393">
        <v>5.68</v>
      </c>
      <c r="U41" s="1390">
        <f>R41+S41</f>
        <v>28.29</v>
      </c>
      <c r="V41" s="1391">
        <f>R41+T41</f>
        <v>29.43</v>
      </c>
      <c r="W41" s="561">
        <v>24.28</v>
      </c>
      <c r="X41" s="562">
        <v>4.54</v>
      </c>
      <c r="Y41" s="562">
        <v>5.68</v>
      </c>
      <c r="Z41" s="559">
        <v>28.82</v>
      </c>
      <c r="AA41" s="560">
        <v>29.96</v>
      </c>
      <c r="AB41" s="561">
        <v>24.82</v>
      </c>
      <c r="AC41" s="562">
        <v>4.54</v>
      </c>
      <c r="AD41" s="562">
        <v>5.68</v>
      </c>
      <c r="AE41" s="559">
        <v>29.36</v>
      </c>
      <c r="AF41" s="560">
        <v>30.5</v>
      </c>
      <c r="AG41" s="561">
        <v>25.35</v>
      </c>
      <c r="AH41" s="562">
        <v>4.54</v>
      </c>
      <c r="AI41" s="562">
        <v>4.68</v>
      </c>
      <c r="AJ41" s="559">
        <v>29.89</v>
      </c>
      <c r="AK41" s="560">
        <v>31.03</v>
      </c>
      <c r="AL41" s="561">
        <v>25.89</v>
      </c>
      <c r="AM41" s="562">
        <v>4.54</v>
      </c>
      <c r="AN41" s="562">
        <v>5.68</v>
      </c>
      <c r="AO41" s="559">
        <v>30.43</v>
      </c>
      <c r="AP41" s="560">
        <v>31.57</v>
      </c>
      <c r="AQ41" s="561">
        <v>26.42</v>
      </c>
      <c r="AR41" s="562">
        <v>4.54</v>
      </c>
      <c r="AS41" s="562">
        <v>5.68</v>
      </c>
      <c r="AT41" s="559">
        <v>30.96</v>
      </c>
      <c r="AU41" s="560">
        <v>312.10000000000002</v>
      </c>
      <c r="AV41" s="561">
        <v>26.95</v>
      </c>
      <c r="AW41" s="562">
        <v>4.54</v>
      </c>
      <c r="AX41" s="562">
        <v>5.68</v>
      </c>
      <c r="AY41" s="559">
        <v>31.49</v>
      </c>
      <c r="AZ41" s="560">
        <v>32.630000000000003</v>
      </c>
      <c r="BA41" s="561">
        <v>27.49</v>
      </c>
      <c r="BB41" s="562">
        <v>4.54</v>
      </c>
      <c r="BC41" s="562">
        <v>5.68</v>
      </c>
      <c r="BD41" s="559">
        <v>32.03</v>
      </c>
      <c r="BE41" s="560">
        <v>33.17</v>
      </c>
      <c r="BF41" s="561">
        <v>28.02</v>
      </c>
      <c r="BG41" s="562">
        <v>4.54</v>
      </c>
      <c r="BH41" s="562">
        <v>5.68</v>
      </c>
      <c r="BI41" s="559">
        <v>32.56</v>
      </c>
      <c r="BJ41" s="560">
        <v>33.700000000000003</v>
      </c>
      <c r="BK41" s="561">
        <v>28.56</v>
      </c>
      <c r="BL41" s="562">
        <v>4.54</v>
      </c>
      <c r="BM41" s="562">
        <v>5.68</v>
      </c>
      <c r="BN41" s="559">
        <v>33.1</v>
      </c>
      <c r="BO41" s="560">
        <v>34.24</v>
      </c>
      <c r="BP41" s="561">
        <v>29.09</v>
      </c>
      <c r="BQ41" s="562">
        <v>4.54</v>
      </c>
      <c r="BR41" s="562">
        <v>5.68</v>
      </c>
      <c r="BS41" s="559">
        <v>33.630000000000003</v>
      </c>
      <c r="BT41" s="560">
        <v>34.770000000000003</v>
      </c>
      <c r="BU41" s="561">
        <v>29.63</v>
      </c>
      <c r="BV41" s="562">
        <v>4.54</v>
      </c>
      <c r="BW41" s="562">
        <v>5.68</v>
      </c>
      <c r="BX41" s="559">
        <v>34.17</v>
      </c>
      <c r="BY41" s="560">
        <v>35.31</v>
      </c>
      <c r="BZ41" s="561">
        <v>30.16</v>
      </c>
      <c r="CA41" s="562">
        <v>4.54</v>
      </c>
      <c r="CB41" s="562">
        <v>5.68</v>
      </c>
      <c r="CC41" s="559">
        <v>34.700000000000003</v>
      </c>
      <c r="CD41" s="560">
        <v>35.840000000000003</v>
      </c>
      <c r="CE41" s="561">
        <v>30.69</v>
      </c>
      <c r="CF41" s="562">
        <v>4.54</v>
      </c>
      <c r="CG41" s="562">
        <v>5.68</v>
      </c>
      <c r="CH41" s="559">
        <v>35.229999999999997</v>
      </c>
      <c r="CI41" s="560">
        <v>36.369999999999997</v>
      </c>
      <c r="CJ41" s="4">
        <v>31.23</v>
      </c>
      <c r="CK41" s="4">
        <v>4.54</v>
      </c>
      <c r="CL41" s="4">
        <v>5.68</v>
      </c>
      <c r="CM41" s="4">
        <v>35.770000000000003</v>
      </c>
      <c r="CN41" s="4">
        <v>36.909999999999997</v>
      </c>
      <c r="CO41" s="4">
        <v>31.76</v>
      </c>
      <c r="CP41" s="4">
        <v>4.54</v>
      </c>
      <c r="CQ41" s="4">
        <v>5.68</v>
      </c>
      <c r="CR41" s="4">
        <v>36.299999999999997</v>
      </c>
      <c r="CS41" s="4">
        <v>37.44</v>
      </c>
      <c r="CT41" s="4">
        <v>32.299999999999997</v>
      </c>
      <c r="CU41" s="4">
        <v>4.54</v>
      </c>
      <c r="CV41" s="4">
        <v>5.68</v>
      </c>
      <c r="CW41" s="4">
        <v>36.840000000000003</v>
      </c>
      <c r="CX41" s="4">
        <v>37.979999999999997</v>
      </c>
      <c r="CY41" s="4">
        <v>32.83</v>
      </c>
      <c r="CZ41" s="4" t="s">
        <v>1820</v>
      </c>
      <c r="DA41" s="4">
        <v>37.369999999999997</v>
      </c>
      <c r="DB41" s="4">
        <v>38.51</v>
      </c>
      <c r="DC41" s="4">
        <v>36.369999999999997</v>
      </c>
      <c r="DD41" s="4">
        <v>33.369999999999997</v>
      </c>
      <c r="DE41" s="4">
        <v>4.54</v>
      </c>
      <c r="DF41" s="4">
        <v>5.68</v>
      </c>
      <c r="DG41" s="4">
        <v>37.909999999999997</v>
      </c>
      <c r="DH41" s="4">
        <v>39.049999999999997</v>
      </c>
      <c r="DI41" s="4">
        <v>33.9</v>
      </c>
      <c r="DJ41" s="4">
        <v>4.54</v>
      </c>
      <c r="DK41" s="4">
        <v>5.68</v>
      </c>
      <c r="DL41" s="4">
        <v>38.44</v>
      </c>
      <c r="DM41" s="4">
        <v>39.58</v>
      </c>
      <c r="DN41" s="4">
        <v>34.43</v>
      </c>
      <c r="DO41" s="4">
        <v>4.54</v>
      </c>
      <c r="DP41" s="4">
        <v>5.68</v>
      </c>
      <c r="DQ41" s="4">
        <v>38.97</v>
      </c>
      <c r="DR41" s="4">
        <v>40.11</v>
      </c>
      <c r="DS41" s="4">
        <v>34.97</v>
      </c>
      <c r="DT41" s="4">
        <v>4.54</v>
      </c>
      <c r="DU41" s="4">
        <v>5.68</v>
      </c>
      <c r="DV41" s="4">
        <v>39.51</v>
      </c>
      <c r="DW41" s="4">
        <v>40.65</v>
      </c>
    </row>
    <row r="42" spans="1:127" ht="21.75">
      <c r="A42" s="9"/>
      <c r="B42" s="11" t="s">
        <v>88</v>
      </c>
      <c r="C42" s="57" t="s">
        <v>7</v>
      </c>
      <c r="D42" s="22">
        <f t="shared" si="0"/>
        <v>37.130000000000003</v>
      </c>
      <c r="E42" s="22">
        <f t="shared" si="1"/>
        <v>6.64</v>
      </c>
      <c r="F42" s="22">
        <f t="shared" si="2"/>
        <v>8.3000000000000007</v>
      </c>
      <c r="G42" s="22">
        <f t="shared" si="3"/>
        <v>43.77</v>
      </c>
      <c r="H42" s="22">
        <f t="shared" si="4"/>
        <v>45.43</v>
      </c>
      <c r="J42" s="9"/>
      <c r="K42" s="11" t="s">
        <v>88</v>
      </c>
      <c r="L42" s="63" t="s">
        <v>7</v>
      </c>
      <c r="M42" s="1371"/>
      <c r="N42" s="1372"/>
      <c r="O42" s="1372"/>
      <c r="P42" s="1369"/>
      <c r="Q42" s="1370"/>
      <c r="R42" s="1392">
        <v>34.78</v>
      </c>
      <c r="S42" s="1393">
        <v>6.64</v>
      </c>
      <c r="T42" s="1393">
        <v>8.3000000000000007</v>
      </c>
      <c r="U42" s="1390">
        <f>R42+S42</f>
        <v>41.42</v>
      </c>
      <c r="V42" s="1391">
        <f>R42+T42</f>
        <v>43.08</v>
      </c>
      <c r="W42" s="561">
        <v>35.57</v>
      </c>
      <c r="X42" s="562">
        <v>6.64</v>
      </c>
      <c r="Y42" s="562">
        <v>8.3000000000000007</v>
      </c>
      <c r="Z42" s="559">
        <v>42.21</v>
      </c>
      <c r="AA42" s="560">
        <v>43.87</v>
      </c>
      <c r="AB42" s="561">
        <v>36.35</v>
      </c>
      <c r="AC42" s="562">
        <v>6.64</v>
      </c>
      <c r="AD42" s="562">
        <v>8.3000000000000007</v>
      </c>
      <c r="AE42" s="559">
        <v>42.99</v>
      </c>
      <c r="AF42" s="560">
        <v>44.65</v>
      </c>
      <c r="AG42" s="561">
        <v>37.130000000000003</v>
      </c>
      <c r="AH42" s="562">
        <v>6.64</v>
      </c>
      <c r="AI42" s="562">
        <v>8.3000000000000007</v>
      </c>
      <c r="AJ42" s="559">
        <v>43.77</v>
      </c>
      <c r="AK42" s="560">
        <v>45.43</v>
      </c>
      <c r="AL42" s="561">
        <v>37.909999999999997</v>
      </c>
      <c r="AM42" s="562">
        <v>6.64</v>
      </c>
      <c r="AN42" s="562">
        <v>8.3000000000000007</v>
      </c>
      <c r="AO42" s="559">
        <v>44.55</v>
      </c>
      <c r="AP42" s="560">
        <v>46.21</v>
      </c>
      <c r="AQ42" s="561">
        <v>38.700000000000003</v>
      </c>
      <c r="AR42" s="562">
        <v>6.64</v>
      </c>
      <c r="AS42" s="562">
        <v>8.3000000000000007</v>
      </c>
      <c r="AT42" s="559">
        <v>45.34</v>
      </c>
      <c r="AU42" s="560">
        <v>47</v>
      </c>
      <c r="AV42" s="561">
        <v>39.479999999999997</v>
      </c>
      <c r="AW42" s="562">
        <v>6.64</v>
      </c>
      <c r="AX42" s="562">
        <v>8.3000000000000007</v>
      </c>
      <c r="AY42" s="559">
        <v>46.12</v>
      </c>
      <c r="AZ42" s="560">
        <v>47.78</v>
      </c>
      <c r="BA42" s="561">
        <v>40.26</v>
      </c>
      <c r="BB42" s="562">
        <v>6.64</v>
      </c>
      <c r="BC42" s="562">
        <v>8.3000000000000007</v>
      </c>
      <c r="BD42" s="559">
        <v>46.9</v>
      </c>
      <c r="BE42" s="560">
        <v>48.56</v>
      </c>
      <c r="BF42" s="561">
        <v>41.04</v>
      </c>
      <c r="BG42" s="562">
        <v>6.64</v>
      </c>
      <c r="BH42" s="562">
        <v>8.3000000000000007</v>
      </c>
      <c r="BI42" s="559">
        <v>47.68</v>
      </c>
      <c r="BJ42" s="560">
        <v>49.34</v>
      </c>
      <c r="BK42" s="561">
        <v>41.82</v>
      </c>
      <c r="BL42" s="562">
        <v>6.64</v>
      </c>
      <c r="BM42" s="562">
        <v>8.3000000000000007</v>
      </c>
      <c r="BN42" s="559">
        <v>48.46</v>
      </c>
      <c r="BO42" s="560">
        <v>50.12</v>
      </c>
      <c r="BP42" s="561">
        <v>42.61</v>
      </c>
      <c r="BQ42" s="562">
        <v>6.64</v>
      </c>
      <c r="BR42" s="562">
        <v>8.3000000000000007</v>
      </c>
      <c r="BS42" s="559">
        <v>49.25</v>
      </c>
      <c r="BT42" s="560">
        <v>50.91</v>
      </c>
      <c r="BU42" s="561">
        <v>43.39</v>
      </c>
      <c r="BV42" s="562">
        <v>6.64</v>
      </c>
      <c r="BW42" s="562">
        <v>8.3000000000000007</v>
      </c>
      <c r="BX42" s="559">
        <v>50.03</v>
      </c>
      <c r="BY42" s="560">
        <v>51.69</v>
      </c>
      <c r="BZ42" s="561">
        <v>44.17</v>
      </c>
      <c r="CA42" s="562">
        <v>6.64</v>
      </c>
      <c r="CB42" s="562">
        <v>8.3000000000000007</v>
      </c>
      <c r="CC42" s="559">
        <v>50.81</v>
      </c>
      <c r="CD42" s="560">
        <v>52.47</v>
      </c>
      <c r="CE42" s="561">
        <v>44.95</v>
      </c>
      <c r="CF42" s="562">
        <v>6.64</v>
      </c>
      <c r="CG42" s="562">
        <v>8.3000000000000007</v>
      </c>
      <c r="CH42" s="559">
        <v>51.59</v>
      </c>
      <c r="CI42" s="560">
        <v>53.25</v>
      </c>
      <c r="CJ42" s="4">
        <v>45.74</v>
      </c>
      <c r="CK42" s="4">
        <v>6.64</v>
      </c>
      <c r="CL42" s="4">
        <v>8.3000000000000007</v>
      </c>
      <c r="CM42" s="4">
        <v>52.38</v>
      </c>
      <c r="CN42" s="4">
        <v>54.04</v>
      </c>
      <c r="CO42" s="4">
        <v>46.52</v>
      </c>
      <c r="CP42" s="4">
        <v>6.64</v>
      </c>
      <c r="CQ42" s="4">
        <v>8.3000000000000007</v>
      </c>
      <c r="CR42" s="4">
        <v>53.16</v>
      </c>
      <c r="CS42" s="4">
        <v>54.82</v>
      </c>
      <c r="CT42" s="4">
        <v>47.3</v>
      </c>
      <c r="CU42" s="4">
        <v>6.64</v>
      </c>
      <c r="CV42" s="4">
        <v>8.3000000000000007</v>
      </c>
      <c r="CW42" s="4">
        <v>53.94</v>
      </c>
      <c r="CX42" s="4">
        <v>55.6</v>
      </c>
      <c r="CY42" s="4">
        <v>48.08</v>
      </c>
      <c r="CZ42" s="4">
        <v>6.64</v>
      </c>
      <c r="DA42" s="4">
        <v>8.3000000000000007</v>
      </c>
      <c r="DB42" s="4">
        <v>54.72</v>
      </c>
      <c r="DC42" s="4">
        <v>56.38</v>
      </c>
      <c r="DD42" s="4">
        <v>48.87</v>
      </c>
      <c r="DE42" s="4">
        <v>6.64</v>
      </c>
      <c r="DF42" s="4">
        <v>8.3000000000000007</v>
      </c>
      <c r="DG42" s="4">
        <v>55.51</v>
      </c>
      <c r="DH42" s="4">
        <v>57.17</v>
      </c>
      <c r="DI42" s="4">
        <v>49.65</v>
      </c>
      <c r="DJ42" s="4">
        <v>6.64</v>
      </c>
      <c r="DK42" s="4">
        <v>8.3000000000000007</v>
      </c>
      <c r="DL42" s="4">
        <v>56.29</v>
      </c>
      <c r="DM42" s="4">
        <v>57.95</v>
      </c>
      <c r="DN42" s="4">
        <v>50.43</v>
      </c>
      <c r="DO42" s="4">
        <v>6.64</v>
      </c>
      <c r="DP42" s="4">
        <v>8.3000000000000007</v>
      </c>
      <c r="DQ42" s="4">
        <v>57.07</v>
      </c>
      <c r="DR42" s="4">
        <v>58.73</v>
      </c>
      <c r="DS42" s="4">
        <v>51.21</v>
      </c>
      <c r="DT42" s="4">
        <v>6.64</v>
      </c>
      <c r="DU42" s="4">
        <v>8.3000000000000007</v>
      </c>
      <c r="DV42" s="4">
        <v>57.85</v>
      </c>
      <c r="DW42" s="4">
        <v>59.51</v>
      </c>
    </row>
    <row r="43" spans="1:127" ht="21.75">
      <c r="A43" s="9">
        <v>12</v>
      </c>
      <c r="B43" s="11" t="s">
        <v>89</v>
      </c>
      <c r="C43" s="57"/>
      <c r="D43" s="22"/>
      <c r="E43" s="22"/>
      <c r="F43" s="22"/>
      <c r="G43" s="22"/>
      <c r="H43" s="22"/>
      <c r="J43" s="9">
        <v>12</v>
      </c>
      <c r="K43" s="11" t="s">
        <v>89</v>
      </c>
      <c r="L43" s="63"/>
      <c r="M43" s="1371"/>
      <c r="N43" s="1372"/>
      <c r="O43" s="1372"/>
      <c r="P43" s="1372"/>
      <c r="Q43" s="1373"/>
      <c r="R43" s="1392"/>
      <c r="S43" s="1393"/>
      <c r="T43" s="1393"/>
      <c r="U43" s="1393"/>
      <c r="V43" s="1394"/>
      <c r="W43" s="561"/>
      <c r="X43" s="562"/>
      <c r="Y43" s="562"/>
      <c r="Z43" s="562"/>
      <c r="AA43" s="563"/>
      <c r="AB43" s="561"/>
      <c r="AC43" s="562"/>
      <c r="AD43" s="562"/>
      <c r="AE43" s="562"/>
      <c r="AF43" s="563"/>
      <c r="AG43" s="561"/>
      <c r="AH43" s="562"/>
      <c r="AI43" s="562"/>
      <c r="AJ43" s="562"/>
      <c r="AK43" s="563"/>
      <c r="AL43" s="561"/>
      <c r="AM43" s="562"/>
      <c r="AN43" s="562"/>
      <c r="AO43" s="562"/>
      <c r="AP43" s="563"/>
      <c r="AQ43" s="561"/>
      <c r="AR43" s="562"/>
      <c r="AS43" s="562"/>
      <c r="AT43" s="562"/>
      <c r="AU43" s="563"/>
      <c r="AV43" s="561"/>
      <c r="AW43" s="562"/>
      <c r="AX43" s="562"/>
      <c r="AY43" s="562"/>
      <c r="AZ43" s="563"/>
      <c r="BA43" s="561"/>
      <c r="BB43" s="562"/>
      <c r="BC43" s="562"/>
      <c r="BD43" s="562"/>
      <c r="BE43" s="563"/>
      <c r="BF43" s="561"/>
      <c r="BG43" s="562"/>
      <c r="BH43" s="562"/>
      <c r="BI43" s="562"/>
      <c r="BJ43" s="563"/>
      <c r="BK43" s="561"/>
      <c r="BL43" s="562"/>
      <c r="BM43" s="562"/>
      <c r="BN43" s="562"/>
      <c r="BO43" s="563"/>
      <c r="BP43" s="561"/>
      <c r="BQ43" s="562"/>
      <c r="BR43" s="562"/>
      <c r="BS43" s="562"/>
      <c r="BT43" s="563"/>
      <c r="BU43" s="561"/>
      <c r="BV43" s="562"/>
      <c r="BW43" s="562"/>
      <c r="BX43" s="562"/>
      <c r="BY43" s="563"/>
      <c r="BZ43" s="561"/>
      <c r="CA43" s="562"/>
      <c r="CB43" s="562"/>
      <c r="CC43" s="562"/>
      <c r="CD43" s="563"/>
      <c r="CE43" s="561"/>
      <c r="CF43" s="562"/>
      <c r="CG43" s="562"/>
      <c r="CH43" s="562"/>
      <c r="CI43" s="563"/>
    </row>
    <row r="44" spans="1:127" ht="21.75">
      <c r="A44" s="9"/>
      <c r="B44" s="11" t="s">
        <v>85</v>
      </c>
      <c r="C44" s="57" t="s">
        <v>62</v>
      </c>
      <c r="D44" s="22">
        <f t="shared" si="0"/>
        <v>1.66</v>
      </c>
      <c r="E44" s="22">
        <f t="shared" si="1"/>
        <v>0.49</v>
      </c>
      <c r="F44" s="22">
        <f t="shared" si="2"/>
        <v>0.61</v>
      </c>
      <c r="G44" s="22">
        <f t="shared" si="3"/>
        <v>2.15</v>
      </c>
      <c r="H44" s="22">
        <f t="shared" si="4"/>
        <v>2.27</v>
      </c>
      <c r="J44" s="9"/>
      <c r="K44" s="11" t="s">
        <v>85</v>
      </c>
      <c r="L44" s="63" t="s">
        <v>62</v>
      </c>
      <c r="M44" s="1371"/>
      <c r="N44" s="1372"/>
      <c r="O44" s="1372"/>
      <c r="P44" s="1369"/>
      <c r="Q44" s="1370"/>
      <c r="R44" s="1392">
        <v>1.61</v>
      </c>
      <c r="S44" s="1393">
        <v>0.49</v>
      </c>
      <c r="T44" s="1393">
        <v>0.61</v>
      </c>
      <c r="U44" s="1390">
        <f>R44+S44</f>
        <v>2.1</v>
      </c>
      <c r="V44" s="1391">
        <f>R44+T44</f>
        <v>2.2200000000000002</v>
      </c>
      <c r="W44" s="561">
        <v>1.63</v>
      </c>
      <c r="X44" s="562">
        <v>0.49</v>
      </c>
      <c r="Y44" s="562">
        <v>0.61</v>
      </c>
      <c r="Z44" s="559">
        <v>2.12</v>
      </c>
      <c r="AA44" s="560">
        <v>2.2400000000000002</v>
      </c>
      <c r="AB44" s="561">
        <v>1.65</v>
      </c>
      <c r="AC44" s="562">
        <v>0.49</v>
      </c>
      <c r="AD44" s="562">
        <v>0.61</v>
      </c>
      <c r="AE44" s="559">
        <v>2.14</v>
      </c>
      <c r="AF44" s="560">
        <v>2.2599999999999998</v>
      </c>
      <c r="AG44" s="561">
        <v>1.66</v>
      </c>
      <c r="AH44" s="562">
        <v>0.49</v>
      </c>
      <c r="AI44" s="562">
        <v>0.61</v>
      </c>
      <c r="AJ44" s="559">
        <v>2.15</v>
      </c>
      <c r="AK44" s="560">
        <v>2.27</v>
      </c>
      <c r="AL44" s="561">
        <v>1.68</v>
      </c>
      <c r="AM44" s="562">
        <v>0.49</v>
      </c>
      <c r="AN44" s="562">
        <v>0.61</v>
      </c>
      <c r="AO44" s="559">
        <v>2.17</v>
      </c>
      <c r="AP44" s="560">
        <v>2.29</v>
      </c>
      <c r="AQ44" s="561">
        <v>1.7</v>
      </c>
      <c r="AR44" s="562">
        <v>0.49</v>
      </c>
      <c r="AS44" s="562">
        <v>0.61</v>
      </c>
      <c r="AT44" s="559">
        <v>2.19</v>
      </c>
      <c r="AU44" s="560">
        <v>2.31</v>
      </c>
      <c r="AV44" s="561">
        <v>1.72</v>
      </c>
      <c r="AW44" s="562">
        <v>0.49</v>
      </c>
      <c r="AX44" s="562">
        <v>0.61</v>
      </c>
      <c r="AY44" s="559">
        <v>2.21</v>
      </c>
      <c r="AZ44" s="560">
        <v>2.33</v>
      </c>
      <c r="BA44" s="561">
        <v>1.74</v>
      </c>
      <c r="BB44" s="562">
        <v>0.49</v>
      </c>
      <c r="BC44" s="562">
        <v>0.61</v>
      </c>
      <c r="BD44" s="559">
        <v>2.23</v>
      </c>
      <c r="BE44" s="560">
        <v>2.35</v>
      </c>
      <c r="BF44" s="561">
        <v>1.75</v>
      </c>
      <c r="BG44" s="562">
        <v>0.49</v>
      </c>
      <c r="BH44" s="562">
        <v>0.61</v>
      </c>
      <c r="BI44" s="559">
        <v>2.2400000000000002</v>
      </c>
      <c r="BJ44" s="560">
        <v>2.36</v>
      </c>
      <c r="BK44" s="561">
        <v>1.77</v>
      </c>
      <c r="BL44" s="562">
        <v>0.49</v>
      </c>
      <c r="BM44" s="562">
        <v>0.61</v>
      </c>
      <c r="BN44" s="559">
        <v>2.2599999999999998</v>
      </c>
      <c r="BO44" s="560">
        <v>2.38</v>
      </c>
      <c r="BP44" s="561">
        <v>1.79</v>
      </c>
      <c r="BQ44" s="562">
        <v>0.49</v>
      </c>
      <c r="BR44" s="562">
        <v>0.61</v>
      </c>
      <c r="BS44" s="559">
        <v>2.2799999999999998</v>
      </c>
      <c r="BT44" s="560">
        <v>2.4</v>
      </c>
      <c r="BU44" s="561">
        <v>1.81</v>
      </c>
      <c r="BV44" s="562">
        <v>0.49</v>
      </c>
      <c r="BW44" s="562">
        <v>0.61</v>
      </c>
      <c r="BX44" s="559">
        <v>2.2999999999999998</v>
      </c>
      <c r="BY44" s="560">
        <v>2.42</v>
      </c>
      <c r="BZ44" s="561">
        <v>1.83</v>
      </c>
      <c r="CA44" s="562">
        <v>0.49</v>
      </c>
      <c r="CB44" s="562">
        <v>0.61</v>
      </c>
      <c r="CC44" s="559">
        <v>2.3199999999999998</v>
      </c>
      <c r="CD44" s="560">
        <v>2.44</v>
      </c>
      <c r="CE44" s="561">
        <v>1.84</v>
      </c>
      <c r="CF44" s="562">
        <v>0.49</v>
      </c>
      <c r="CG44" s="562">
        <v>0.61</v>
      </c>
      <c r="CH44" s="559">
        <v>2.33</v>
      </c>
      <c r="CI44" s="560">
        <v>2.4500000000000002</v>
      </c>
      <c r="CJ44" s="4">
        <v>1.86</v>
      </c>
      <c r="CK44" s="4">
        <v>0.49</v>
      </c>
      <c r="CL44" s="4">
        <v>0.61</v>
      </c>
      <c r="CM44" s="4">
        <v>2.35</v>
      </c>
      <c r="CN44" s="4">
        <v>2.4700000000000002</v>
      </c>
      <c r="CO44" s="4">
        <v>1.88</v>
      </c>
      <c r="CP44" s="4">
        <v>0.49</v>
      </c>
      <c r="CQ44" s="4">
        <v>0.61</v>
      </c>
      <c r="CR44" s="4">
        <v>2.37</v>
      </c>
      <c r="CS44" s="4">
        <v>2.4900000000000002</v>
      </c>
      <c r="CT44" s="4">
        <v>1.9</v>
      </c>
      <c r="CU44" s="4">
        <v>0.49</v>
      </c>
      <c r="CV44" s="4">
        <v>0.61</v>
      </c>
      <c r="CW44" s="4">
        <v>2.39</v>
      </c>
      <c r="CX44" s="4">
        <v>2.5099999999999998</v>
      </c>
      <c r="CY44" s="4">
        <v>1.92</v>
      </c>
      <c r="CZ44" s="4">
        <v>0.49</v>
      </c>
      <c r="DA44" s="4">
        <v>0.61</v>
      </c>
      <c r="DB44" s="4">
        <v>2.41</v>
      </c>
      <c r="DC44" s="4">
        <v>2.5299999999999998</v>
      </c>
      <c r="DD44" s="4">
        <v>1.93</v>
      </c>
      <c r="DE44" s="4">
        <v>0.49</v>
      </c>
      <c r="DF44" s="4">
        <v>0.61</v>
      </c>
      <c r="DG44" s="4">
        <v>2.42</v>
      </c>
      <c r="DH44" s="4">
        <v>2.64</v>
      </c>
      <c r="DI44" s="4">
        <v>1.95</v>
      </c>
      <c r="DJ44" s="4">
        <v>0.49</v>
      </c>
      <c r="DK44" s="4">
        <v>0.61</v>
      </c>
      <c r="DL44" s="4">
        <v>2.44</v>
      </c>
      <c r="DM44" s="4">
        <v>2.56</v>
      </c>
      <c r="DN44" s="4">
        <v>1.97</v>
      </c>
      <c r="DO44" s="4">
        <v>0.49</v>
      </c>
      <c r="DP44" s="4">
        <v>0.61</v>
      </c>
      <c r="DQ44" s="4">
        <v>2.46</v>
      </c>
      <c r="DR44" s="4">
        <v>2.58</v>
      </c>
      <c r="DS44" s="4">
        <v>1.99</v>
      </c>
      <c r="DT44" s="4">
        <v>0.49</v>
      </c>
      <c r="DU44" s="4">
        <v>0.61</v>
      </c>
      <c r="DV44" s="4">
        <v>2.48</v>
      </c>
      <c r="DW44" s="4">
        <v>2.6</v>
      </c>
    </row>
    <row r="45" spans="1:127" ht="21.75">
      <c r="A45" s="9"/>
      <c r="B45" s="11" t="s">
        <v>86</v>
      </c>
      <c r="C45" s="57" t="s">
        <v>62</v>
      </c>
      <c r="D45" s="22">
        <f t="shared" si="0"/>
        <v>2.2999999999999998</v>
      </c>
      <c r="E45" s="22">
        <f t="shared" si="1"/>
        <v>0.68</v>
      </c>
      <c r="F45" s="22">
        <f t="shared" si="2"/>
        <v>0.85</v>
      </c>
      <c r="G45" s="22">
        <f t="shared" si="3"/>
        <v>2.98</v>
      </c>
      <c r="H45" s="22">
        <f t="shared" si="4"/>
        <v>3.15</v>
      </c>
      <c r="J45" s="9"/>
      <c r="K45" s="11" t="s">
        <v>86</v>
      </c>
      <c r="L45" s="63" t="s">
        <v>62</v>
      </c>
      <c r="M45" s="1371"/>
      <c r="N45" s="1372"/>
      <c r="O45" s="1372"/>
      <c r="P45" s="1369"/>
      <c r="Q45" s="1370"/>
      <c r="R45" s="1392">
        <v>2.2200000000000002</v>
      </c>
      <c r="S45" s="1393">
        <v>0.68</v>
      </c>
      <c r="T45" s="1393">
        <v>0.85</v>
      </c>
      <c r="U45" s="1390">
        <f>R45+S45</f>
        <v>2.9000000000000004</v>
      </c>
      <c r="V45" s="1391">
        <f>R45+T45</f>
        <v>3.0700000000000003</v>
      </c>
      <c r="W45" s="561">
        <v>2.25</v>
      </c>
      <c r="X45" s="562">
        <v>0.68</v>
      </c>
      <c r="Y45" s="562">
        <v>0.85</v>
      </c>
      <c r="Z45" s="559">
        <v>2.93</v>
      </c>
      <c r="AA45" s="560">
        <v>3.1</v>
      </c>
      <c r="AB45" s="561">
        <v>2.27</v>
      </c>
      <c r="AC45" s="562">
        <v>0.68</v>
      </c>
      <c r="AD45" s="562">
        <v>0.85</v>
      </c>
      <c r="AE45" s="559">
        <v>2.95</v>
      </c>
      <c r="AF45" s="560">
        <v>3.12</v>
      </c>
      <c r="AG45" s="561">
        <v>2.2999999999999998</v>
      </c>
      <c r="AH45" s="562">
        <v>0.68</v>
      </c>
      <c r="AI45" s="562">
        <v>0.85</v>
      </c>
      <c r="AJ45" s="559">
        <v>2.98</v>
      </c>
      <c r="AK45" s="560">
        <v>3.15</v>
      </c>
      <c r="AL45" s="561">
        <v>2.3199999999999998</v>
      </c>
      <c r="AM45" s="562">
        <v>0.68</v>
      </c>
      <c r="AN45" s="562">
        <v>0.85</v>
      </c>
      <c r="AO45" s="559">
        <v>3</v>
      </c>
      <c r="AP45" s="560">
        <v>3.17</v>
      </c>
      <c r="AQ45" s="561">
        <v>2.35</v>
      </c>
      <c r="AR45" s="562">
        <v>0.68</v>
      </c>
      <c r="AS45" s="562">
        <v>0.85</v>
      </c>
      <c r="AT45" s="559">
        <v>3.03</v>
      </c>
      <c r="AU45" s="560">
        <v>3.2</v>
      </c>
      <c r="AV45" s="561">
        <v>2.37</v>
      </c>
      <c r="AW45" s="562">
        <v>0.68</v>
      </c>
      <c r="AX45" s="562">
        <v>0.85</v>
      </c>
      <c r="AY45" s="559">
        <v>3.05</v>
      </c>
      <c r="AZ45" s="560">
        <v>3.22</v>
      </c>
      <c r="BA45" s="561">
        <v>2.4</v>
      </c>
      <c r="BB45" s="562">
        <v>0.68</v>
      </c>
      <c r="BC45" s="562">
        <v>0.85</v>
      </c>
      <c r="BD45" s="559">
        <v>3.08</v>
      </c>
      <c r="BE45" s="560">
        <v>3.25</v>
      </c>
      <c r="BF45" s="561">
        <v>2.42</v>
      </c>
      <c r="BG45" s="562">
        <v>0.68</v>
      </c>
      <c r="BH45" s="562">
        <v>0.85</v>
      </c>
      <c r="BI45" s="559">
        <v>3.1</v>
      </c>
      <c r="BJ45" s="560">
        <v>3.27</v>
      </c>
      <c r="BK45" s="561">
        <v>2.4500000000000002</v>
      </c>
      <c r="BL45" s="562">
        <v>0.68</v>
      </c>
      <c r="BM45" s="562">
        <v>0.85</v>
      </c>
      <c r="BN45" s="559">
        <v>3.13</v>
      </c>
      <c r="BO45" s="560">
        <v>3.3</v>
      </c>
      <c r="BP45" s="561">
        <v>2.4700000000000002</v>
      </c>
      <c r="BQ45" s="562">
        <v>0.68</v>
      </c>
      <c r="BR45" s="562">
        <v>0.85</v>
      </c>
      <c r="BS45" s="559">
        <v>3.15</v>
      </c>
      <c r="BT45" s="560">
        <v>3.32</v>
      </c>
      <c r="BU45" s="561">
        <v>2.5</v>
      </c>
      <c r="BV45" s="562">
        <v>0.68</v>
      </c>
      <c r="BW45" s="562">
        <v>0.85</v>
      </c>
      <c r="BX45" s="559">
        <v>3.18</v>
      </c>
      <c r="BY45" s="560">
        <v>3.35</v>
      </c>
      <c r="BZ45" s="561">
        <v>2.52</v>
      </c>
      <c r="CA45" s="562">
        <v>0.68</v>
      </c>
      <c r="CB45" s="562">
        <v>0.85</v>
      </c>
      <c r="CC45" s="559">
        <v>3.2</v>
      </c>
      <c r="CD45" s="560">
        <v>3.37</v>
      </c>
      <c r="CE45" s="561">
        <v>2.5499999999999998</v>
      </c>
      <c r="CF45" s="562">
        <v>0.68</v>
      </c>
      <c r="CG45" s="562">
        <v>0.85</v>
      </c>
      <c r="CH45" s="559">
        <v>3.23</v>
      </c>
      <c r="CI45" s="560">
        <v>3.4</v>
      </c>
      <c r="CJ45" s="4">
        <v>2.57</v>
      </c>
      <c r="CK45" s="4">
        <v>0.68</v>
      </c>
      <c r="CL45" s="4">
        <v>0.85</v>
      </c>
      <c r="CM45" s="4">
        <v>3.25</v>
      </c>
      <c r="CN45" s="4">
        <v>3.42</v>
      </c>
      <c r="CO45" s="4">
        <v>2.6</v>
      </c>
      <c r="CP45" s="4">
        <v>0.68</v>
      </c>
      <c r="CQ45" s="4">
        <v>0.85</v>
      </c>
      <c r="CR45" s="4">
        <v>3.28</v>
      </c>
      <c r="CS45" s="4">
        <v>3.45</v>
      </c>
      <c r="CT45" s="4">
        <v>2.62</v>
      </c>
      <c r="CU45" s="4">
        <v>0.68</v>
      </c>
      <c r="CV45" s="4">
        <v>0.85</v>
      </c>
      <c r="CW45" s="4">
        <v>3.3</v>
      </c>
      <c r="CX45" s="4">
        <v>3.47</v>
      </c>
      <c r="CY45" s="4">
        <v>2.65</v>
      </c>
      <c r="CZ45" s="4">
        <v>0.68</v>
      </c>
      <c r="DA45" s="4">
        <v>0.85</v>
      </c>
      <c r="DB45" s="4">
        <v>3.33</v>
      </c>
      <c r="DC45" s="4">
        <v>3.5</v>
      </c>
      <c r="DD45" s="4">
        <v>2.67</v>
      </c>
      <c r="DE45" s="4">
        <v>0.68</v>
      </c>
      <c r="DF45" s="4">
        <v>0.85</v>
      </c>
      <c r="DG45" s="4">
        <v>3.35</v>
      </c>
      <c r="DH45" s="4">
        <v>3.52</v>
      </c>
      <c r="DI45" s="4">
        <v>2.7</v>
      </c>
      <c r="DJ45" s="4">
        <v>0.68</v>
      </c>
      <c r="DK45" s="4">
        <v>0.85</v>
      </c>
      <c r="DL45" s="4">
        <v>3.38</v>
      </c>
      <c r="DM45" s="4">
        <v>3.94</v>
      </c>
      <c r="DN45" s="4">
        <v>2.72</v>
      </c>
      <c r="DO45" s="4">
        <v>0.68</v>
      </c>
      <c r="DP45" s="4">
        <v>0.85</v>
      </c>
      <c r="DQ45" s="4">
        <v>3.4</v>
      </c>
      <c r="DR45" s="4">
        <v>3.57</v>
      </c>
      <c r="DS45" s="4">
        <v>2.75</v>
      </c>
      <c r="DT45" s="4">
        <v>0.68</v>
      </c>
      <c r="DU45" s="4">
        <v>0.85</v>
      </c>
      <c r="DV45" s="4">
        <v>3.43</v>
      </c>
      <c r="DW45" s="4">
        <v>3.68</v>
      </c>
    </row>
    <row r="46" spans="1:127" ht="21.75">
      <c r="A46" s="9"/>
      <c r="B46" s="11" t="s">
        <v>87</v>
      </c>
      <c r="C46" s="57" t="s">
        <v>62</v>
      </c>
      <c r="D46" s="22">
        <f t="shared" si="0"/>
        <v>3.42</v>
      </c>
      <c r="E46" s="22">
        <f t="shared" si="1"/>
        <v>1</v>
      </c>
      <c r="F46" s="22">
        <f t="shared" si="2"/>
        <v>1.25</v>
      </c>
      <c r="G46" s="22">
        <f t="shared" si="3"/>
        <v>4.42</v>
      </c>
      <c r="H46" s="22">
        <f t="shared" si="4"/>
        <v>4.67</v>
      </c>
      <c r="J46" s="9"/>
      <c r="K46" s="11" t="s">
        <v>87</v>
      </c>
      <c r="L46" s="63" t="s">
        <v>62</v>
      </c>
      <c r="M46" s="1371"/>
      <c r="N46" s="1372"/>
      <c r="O46" s="1372"/>
      <c r="P46" s="1369"/>
      <c r="Q46" s="1370"/>
      <c r="R46" s="1392">
        <v>3.31</v>
      </c>
      <c r="S46" s="1393">
        <v>1</v>
      </c>
      <c r="T46" s="1393">
        <v>1.25</v>
      </c>
      <c r="U46" s="1390">
        <f>R46+S46</f>
        <v>4.3100000000000005</v>
      </c>
      <c r="V46" s="1391">
        <f>R46+T46</f>
        <v>4.5600000000000005</v>
      </c>
      <c r="W46" s="561">
        <v>3.34</v>
      </c>
      <c r="X46" s="562">
        <v>1</v>
      </c>
      <c r="Y46" s="562">
        <v>1.25</v>
      </c>
      <c r="Z46" s="559">
        <v>4.34</v>
      </c>
      <c r="AA46" s="560">
        <v>4.59</v>
      </c>
      <c r="AB46" s="561">
        <v>3.38</v>
      </c>
      <c r="AC46" s="562">
        <v>1</v>
      </c>
      <c r="AD46" s="562">
        <v>1.25</v>
      </c>
      <c r="AE46" s="559">
        <v>4.38</v>
      </c>
      <c r="AF46" s="560">
        <v>4.63</v>
      </c>
      <c r="AG46" s="561">
        <v>3.42</v>
      </c>
      <c r="AH46" s="562">
        <v>1</v>
      </c>
      <c r="AI46" s="562">
        <v>1.25</v>
      </c>
      <c r="AJ46" s="559">
        <v>4.42</v>
      </c>
      <c r="AK46" s="560">
        <v>4.67</v>
      </c>
      <c r="AL46" s="561">
        <v>3.45</v>
      </c>
      <c r="AM46" s="562">
        <v>1</v>
      </c>
      <c r="AN46" s="562">
        <v>1.25</v>
      </c>
      <c r="AO46" s="559">
        <v>4.45</v>
      </c>
      <c r="AP46" s="560">
        <v>4.7</v>
      </c>
      <c r="AQ46" s="561">
        <v>3.49</v>
      </c>
      <c r="AR46" s="562">
        <v>1</v>
      </c>
      <c r="AS46" s="562">
        <v>1.25</v>
      </c>
      <c r="AT46" s="559">
        <v>4.49</v>
      </c>
      <c r="AU46" s="560">
        <v>4.74</v>
      </c>
      <c r="AV46" s="561">
        <v>3.53</v>
      </c>
      <c r="AW46" s="562">
        <v>1</v>
      </c>
      <c r="AX46" s="562">
        <v>1.25</v>
      </c>
      <c r="AY46" s="559">
        <v>4.53</v>
      </c>
      <c r="AZ46" s="560">
        <v>4.78</v>
      </c>
      <c r="BA46" s="561">
        <v>3.57</v>
      </c>
      <c r="BB46" s="562">
        <v>1</v>
      </c>
      <c r="BC46" s="562">
        <v>1.25</v>
      </c>
      <c r="BD46" s="559">
        <v>4.57</v>
      </c>
      <c r="BE46" s="560">
        <v>4.82</v>
      </c>
      <c r="BF46" s="561">
        <v>3.6</v>
      </c>
      <c r="BG46" s="562">
        <v>1</v>
      </c>
      <c r="BH46" s="562">
        <v>1.25</v>
      </c>
      <c r="BI46" s="559">
        <v>4.5999999999999996</v>
      </c>
      <c r="BJ46" s="560">
        <v>4.8499999999999996</v>
      </c>
      <c r="BK46" s="561">
        <v>3.64</v>
      </c>
      <c r="BL46" s="562">
        <v>1</v>
      </c>
      <c r="BM46" s="562">
        <v>1.25</v>
      </c>
      <c r="BN46" s="559">
        <v>4.6399999999999997</v>
      </c>
      <c r="BO46" s="560">
        <v>4.8899999999999997</v>
      </c>
      <c r="BP46" s="561">
        <v>3.68</v>
      </c>
      <c r="BQ46" s="562">
        <v>1</v>
      </c>
      <c r="BR46" s="562">
        <v>1.25</v>
      </c>
      <c r="BS46" s="559">
        <v>4.68</v>
      </c>
      <c r="BT46" s="560">
        <v>4.93</v>
      </c>
      <c r="BU46" s="561">
        <v>3.71</v>
      </c>
      <c r="BV46" s="562">
        <v>1.0048114039925002</v>
      </c>
      <c r="BW46" s="562">
        <v>1.25</v>
      </c>
      <c r="BX46" s="559">
        <v>4.71</v>
      </c>
      <c r="BY46" s="560">
        <v>4.96</v>
      </c>
      <c r="BZ46" s="561">
        <v>3.75</v>
      </c>
      <c r="CA46" s="562">
        <v>1</v>
      </c>
      <c r="CB46" s="562">
        <v>1.25</v>
      </c>
      <c r="CC46" s="559">
        <v>4.75</v>
      </c>
      <c r="CD46" s="560">
        <v>5</v>
      </c>
      <c r="CE46" s="561">
        <v>3.79</v>
      </c>
      <c r="CF46" s="562">
        <v>1</v>
      </c>
      <c r="CG46" s="562">
        <v>1.25</v>
      </c>
      <c r="CH46" s="559">
        <v>4.79</v>
      </c>
      <c r="CI46" s="560">
        <v>5.04</v>
      </c>
      <c r="CJ46" s="4">
        <v>3.83</v>
      </c>
      <c r="CK46" s="4">
        <v>1</v>
      </c>
      <c r="CL46" s="4">
        <v>1.25</v>
      </c>
      <c r="CM46" s="4">
        <v>4.83</v>
      </c>
      <c r="CN46" s="4">
        <v>5.08</v>
      </c>
      <c r="CO46" s="4">
        <v>3.86</v>
      </c>
      <c r="CP46" s="4">
        <v>1</v>
      </c>
      <c r="CQ46" s="4">
        <v>1.25</v>
      </c>
      <c r="CR46" s="4">
        <v>4.8600000000000003</v>
      </c>
      <c r="CS46" s="4">
        <v>5.1100000000000003</v>
      </c>
      <c r="CT46" s="4">
        <v>3.9</v>
      </c>
      <c r="CU46" s="4">
        <v>1</v>
      </c>
      <c r="CV46" s="4">
        <v>1.25</v>
      </c>
      <c r="CW46" s="4">
        <v>4.9000000000000004</v>
      </c>
      <c r="CX46" s="4">
        <v>5.15</v>
      </c>
      <c r="CY46" s="4">
        <v>3.94</v>
      </c>
      <c r="CZ46" s="4">
        <v>1</v>
      </c>
      <c r="DA46" s="4">
        <v>1.25</v>
      </c>
      <c r="DB46" s="4">
        <v>4.9400000000000004</v>
      </c>
      <c r="DC46" s="4">
        <v>5.19</v>
      </c>
      <c r="DD46" s="4">
        <v>3.97</v>
      </c>
      <c r="DE46" s="4">
        <v>1</v>
      </c>
      <c r="DF46" s="4">
        <v>1.25</v>
      </c>
      <c r="DG46" s="4">
        <v>4.97</v>
      </c>
      <c r="DH46" s="4">
        <v>5.22</v>
      </c>
      <c r="DI46" s="4">
        <v>4.01</v>
      </c>
      <c r="DJ46" s="4">
        <v>1</v>
      </c>
      <c r="DK46" s="4">
        <v>1.25</v>
      </c>
      <c r="DL46" s="4">
        <v>5.01</v>
      </c>
      <c r="DM46" s="4">
        <v>5.26</v>
      </c>
      <c r="DN46" s="4">
        <v>4.05</v>
      </c>
      <c r="DO46" s="4">
        <v>1</v>
      </c>
      <c r="DP46" s="4">
        <v>1.25</v>
      </c>
      <c r="DQ46" s="4">
        <v>5.05</v>
      </c>
      <c r="DR46" s="4">
        <v>5.3</v>
      </c>
      <c r="DS46" s="4">
        <v>4.09</v>
      </c>
      <c r="DT46" s="4">
        <v>1</v>
      </c>
      <c r="DU46" s="4">
        <v>1.25</v>
      </c>
      <c r="DV46" s="4">
        <v>5.09</v>
      </c>
      <c r="DW46" s="4">
        <v>5.34</v>
      </c>
    </row>
    <row r="47" spans="1:127" ht="21.75">
      <c r="A47" s="9"/>
      <c r="B47" s="11" t="s">
        <v>88</v>
      </c>
      <c r="C47" s="57" t="s">
        <v>62</v>
      </c>
      <c r="D47" s="22">
        <f t="shared" si="0"/>
        <v>5.01</v>
      </c>
      <c r="E47" s="22">
        <f t="shared" si="1"/>
        <v>1.47</v>
      </c>
      <c r="F47" s="22">
        <f t="shared" si="2"/>
        <v>1.84</v>
      </c>
      <c r="G47" s="22">
        <f t="shared" si="3"/>
        <v>6.48</v>
      </c>
      <c r="H47" s="22">
        <f t="shared" si="4"/>
        <v>6.85</v>
      </c>
      <c r="J47" s="9"/>
      <c r="K47" s="11" t="s">
        <v>88</v>
      </c>
      <c r="L47" s="63" t="s">
        <v>62</v>
      </c>
      <c r="M47" s="1371"/>
      <c r="N47" s="1372"/>
      <c r="O47" s="1372"/>
      <c r="P47" s="1369"/>
      <c r="Q47" s="1370"/>
      <c r="R47" s="1392">
        <v>4.84</v>
      </c>
      <c r="S47" s="1393">
        <v>1.47</v>
      </c>
      <c r="T47" s="1393">
        <v>1.84</v>
      </c>
      <c r="U47" s="1390">
        <f>R47+S47</f>
        <v>6.31</v>
      </c>
      <c r="V47" s="1391">
        <f>R47+T47</f>
        <v>6.68</v>
      </c>
      <c r="W47" s="561">
        <v>4.9000000000000004</v>
      </c>
      <c r="X47" s="562">
        <v>1.47</v>
      </c>
      <c r="Y47" s="562">
        <v>1.84</v>
      </c>
      <c r="Z47" s="559">
        <v>6.37</v>
      </c>
      <c r="AA47" s="560">
        <v>6.74</v>
      </c>
      <c r="AB47" s="561">
        <v>4.95</v>
      </c>
      <c r="AC47" s="562">
        <v>1.47</v>
      </c>
      <c r="AD47" s="562">
        <v>1.84</v>
      </c>
      <c r="AE47" s="559">
        <v>6.42</v>
      </c>
      <c r="AF47" s="560">
        <v>6.79</v>
      </c>
      <c r="AG47" s="561">
        <v>5.01</v>
      </c>
      <c r="AH47" s="562">
        <v>1.47</v>
      </c>
      <c r="AI47" s="562">
        <v>1.84</v>
      </c>
      <c r="AJ47" s="559">
        <v>6.48</v>
      </c>
      <c r="AK47" s="560">
        <v>6.85</v>
      </c>
      <c r="AL47" s="561">
        <v>5.0599999999999996</v>
      </c>
      <c r="AM47" s="562">
        <v>1.47</v>
      </c>
      <c r="AN47" s="562">
        <v>1.84</v>
      </c>
      <c r="AO47" s="559">
        <v>6.53</v>
      </c>
      <c r="AP47" s="560">
        <v>6.9</v>
      </c>
      <c r="AQ47" s="561">
        <v>5.1100000000000003</v>
      </c>
      <c r="AR47" s="562">
        <v>1.47</v>
      </c>
      <c r="AS47" s="562">
        <v>1.84</v>
      </c>
      <c r="AT47" s="559">
        <v>6.58</v>
      </c>
      <c r="AU47" s="560">
        <v>6.95</v>
      </c>
      <c r="AV47" s="561">
        <v>5.17</v>
      </c>
      <c r="AW47" s="562">
        <v>1.47</v>
      </c>
      <c r="AX47" s="562">
        <v>1.84</v>
      </c>
      <c r="AY47" s="559">
        <v>6.64</v>
      </c>
      <c r="AZ47" s="560">
        <v>7.01</v>
      </c>
      <c r="BA47" s="561">
        <v>5.22</v>
      </c>
      <c r="BB47" s="562">
        <v>1.47</v>
      </c>
      <c r="BC47" s="562">
        <v>1.84</v>
      </c>
      <c r="BD47" s="559">
        <v>6.69</v>
      </c>
      <c r="BE47" s="560">
        <v>7.06</v>
      </c>
      <c r="BF47" s="561">
        <v>5.28</v>
      </c>
      <c r="BG47" s="562">
        <v>1.47</v>
      </c>
      <c r="BH47" s="562">
        <v>1.84</v>
      </c>
      <c r="BI47" s="559">
        <v>6.75</v>
      </c>
      <c r="BJ47" s="560">
        <v>7.12</v>
      </c>
      <c r="BK47" s="561">
        <v>5.33</v>
      </c>
      <c r="BL47" s="562">
        <v>1.47</v>
      </c>
      <c r="BM47" s="562">
        <v>1.84</v>
      </c>
      <c r="BN47" s="559">
        <v>6.8</v>
      </c>
      <c r="BO47" s="560">
        <v>7.17</v>
      </c>
      <c r="BP47" s="561">
        <v>5.39</v>
      </c>
      <c r="BQ47" s="562">
        <v>1.47</v>
      </c>
      <c r="BR47" s="562">
        <v>1.84</v>
      </c>
      <c r="BS47" s="559">
        <v>6.86</v>
      </c>
      <c r="BT47" s="560">
        <v>7.23</v>
      </c>
      <c r="BU47" s="561">
        <v>5.44</v>
      </c>
      <c r="BV47" s="562">
        <v>1.4716485607146799</v>
      </c>
      <c r="BW47" s="562">
        <v>1.8395607008933499</v>
      </c>
      <c r="BX47" s="559">
        <v>6.91</v>
      </c>
      <c r="BY47" s="560">
        <v>7.28</v>
      </c>
      <c r="BZ47" s="561">
        <v>5.49</v>
      </c>
      <c r="CA47" s="562">
        <v>1.47</v>
      </c>
      <c r="CB47" s="562">
        <v>1.84</v>
      </c>
      <c r="CC47" s="559">
        <v>6.96</v>
      </c>
      <c r="CD47" s="560">
        <v>7.33</v>
      </c>
      <c r="CE47" s="561">
        <v>5.55</v>
      </c>
      <c r="CF47" s="562">
        <v>1.47</v>
      </c>
      <c r="CG47" s="562">
        <v>1.84</v>
      </c>
      <c r="CH47" s="559">
        <v>7.02</v>
      </c>
      <c r="CI47" s="560">
        <v>7.39</v>
      </c>
      <c r="CJ47" s="4">
        <v>5.6</v>
      </c>
      <c r="CK47" s="4">
        <v>1.47</v>
      </c>
      <c r="CL47" s="4">
        <v>1.84</v>
      </c>
      <c r="CM47" s="4">
        <v>7.07</v>
      </c>
      <c r="CN47" s="4">
        <v>7.44</v>
      </c>
      <c r="CO47" s="4">
        <v>5.66</v>
      </c>
      <c r="CP47" s="4">
        <v>1.47</v>
      </c>
      <c r="CQ47" s="4">
        <v>1.84</v>
      </c>
      <c r="CR47" s="4">
        <v>7.13</v>
      </c>
      <c r="CS47" s="4">
        <v>7.5</v>
      </c>
      <c r="CT47" s="4">
        <v>5.71</v>
      </c>
      <c r="CU47" s="4">
        <v>1.47</v>
      </c>
      <c r="CV47" s="4">
        <v>1.84</v>
      </c>
      <c r="CW47" s="4">
        <v>7.18</v>
      </c>
      <c r="CX47" s="4">
        <v>7.55</v>
      </c>
      <c r="CY47" s="4">
        <v>5.77</v>
      </c>
      <c r="CZ47" s="4">
        <v>1.47</v>
      </c>
      <c r="DA47" s="4">
        <v>1.84</v>
      </c>
      <c r="DB47" s="4">
        <v>7.24</v>
      </c>
      <c r="DC47" s="4">
        <v>7.61</v>
      </c>
      <c r="DD47" s="4">
        <v>5.82</v>
      </c>
      <c r="DE47" s="4">
        <v>1.47</v>
      </c>
      <c r="DF47" s="4">
        <v>1.84</v>
      </c>
      <c r="DG47" s="4">
        <v>7.29</v>
      </c>
      <c r="DH47" s="4">
        <v>7.66</v>
      </c>
      <c r="DI47" s="4">
        <v>5.87</v>
      </c>
      <c r="DJ47" s="4">
        <v>1.47</v>
      </c>
      <c r="DK47" s="4">
        <v>1.84</v>
      </c>
      <c r="DL47" s="4">
        <v>7.34</v>
      </c>
      <c r="DM47" s="4">
        <v>7.71</v>
      </c>
      <c r="DN47" s="4">
        <v>5.93</v>
      </c>
      <c r="DO47" s="4">
        <v>1.47</v>
      </c>
      <c r="DP47" s="4">
        <v>1.84</v>
      </c>
      <c r="DQ47" s="4">
        <v>7.4</v>
      </c>
      <c r="DR47" s="4">
        <v>7.77</v>
      </c>
      <c r="DS47" s="4">
        <v>5.98</v>
      </c>
      <c r="DT47" s="4">
        <v>1.47</v>
      </c>
      <c r="DU47" s="4">
        <v>1.84</v>
      </c>
      <c r="DV47" s="4">
        <v>7.45</v>
      </c>
      <c r="DW47" s="4">
        <v>7.82</v>
      </c>
    </row>
    <row r="48" spans="1:127" ht="21.75">
      <c r="A48" s="9">
        <v>13</v>
      </c>
      <c r="B48" s="11" t="s">
        <v>90</v>
      </c>
      <c r="C48" s="57"/>
      <c r="D48" s="22">
        <f t="shared" si="0"/>
        <v>0</v>
      </c>
      <c r="E48" s="22">
        <f t="shared" si="1"/>
        <v>0</v>
      </c>
      <c r="F48" s="22">
        <f t="shared" si="2"/>
        <v>0</v>
      </c>
      <c r="G48" s="22">
        <f t="shared" si="3"/>
        <v>0</v>
      </c>
      <c r="H48" s="22">
        <f t="shared" si="4"/>
        <v>0</v>
      </c>
      <c r="J48" s="9">
        <v>13</v>
      </c>
      <c r="K48" s="11" t="s">
        <v>90</v>
      </c>
      <c r="L48" s="63"/>
      <c r="M48" s="1371"/>
      <c r="N48" s="1372"/>
      <c r="O48" s="1372"/>
      <c r="P48" s="1372"/>
      <c r="Q48" s="1373"/>
      <c r="R48" s="1392"/>
      <c r="S48" s="1393"/>
      <c r="T48" s="1393"/>
      <c r="U48" s="1393"/>
      <c r="V48" s="1394"/>
      <c r="W48" s="561"/>
      <c r="X48" s="562"/>
      <c r="Y48" s="562"/>
      <c r="Z48" s="562"/>
      <c r="AA48" s="563"/>
      <c r="AB48" s="561"/>
      <c r="AC48" s="562"/>
      <c r="AD48" s="562"/>
      <c r="AE48" s="562"/>
      <c r="AF48" s="563"/>
      <c r="AG48" s="561"/>
      <c r="AH48" s="562"/>
      <c r="AI48" s="562"/>
      <c r="AJ48" s="562"/>
      <c r="AK48" s="563"/>
      <c r="AL48" s="561"/>
      <c r="AM48" s="562"/>
      <c r="AN48" s="562"/>
      <c r="AO48" s="562"/>
      <c r="AP48" s="563"/>
      <c r="AQ48" s="561"/>
      <c r="AR48" s="562"/>
      <c r="AS48" s="562"/>
      <c r="AT48" s="562"/>
      <c r="AU48" s="563"/>
      <c r="AV48" s="561"/>
      <c r="AW48" s="562"/>
      <c r="AX48" s="562"/>
      <c r="AY48" s="562"/>
      <c r="AZ48" s="563"/>
      <c r="BA48" s="561"/>
      <c r="BB48" s="562"/>
      <c r="BC48" s="562"/>
      <c r="BD48" s="562"/>
      <c r="BE48" s="563"/>
      <c r="BF48" s="561"/>
      <c r="BG48" s="562"/>
      <c r="BH48" s="562"/>
      <c r="BI48" s="562"/>
      <c r="BJ48" s="563"/>
      <c r="BK48" s="561"/>
      <c r="BL48" s="562"/>
      <c r="BM48" s="562"/>
      <c r="BN48" s="562"/>
      <c r="BO48" s="563"/>
      <c r="BP48" s="561"/>
      <c r="BQ48" s="562"/>
      <c r="BR48" s="562"/>
      <c r="BS48" s="562"/>
      <c r="BT48" s="563"/>
      <c r="BU48" s="561"/>
      <c r="BV48" s="562"/>
      <c r="BW48" s="562"/>
      <c r="BX48" s="562"/>
      <c r="BY48" s="563"/>
      <c r="BZ48" s="561"/>
      <c r="CA48" s="562"/>
      <c r="CB48" s="562"/>
      <c r="CC48" s="562"/>
      <c r="CD48" s="563"/>
      <c r="CE48" s="561"/>
      <c r="CF48" s="562"/>
      <c r="CG48" s="562"/>
      <c r="CH48" s="562"/>
      <c r="CI48" s="563"/>
    </row>
    <row r="49" spans="1:127" ht="21.75">
      <c r="A49" s="9"/>
      <c r="B49" s="11" t="s">
        <v>91</v>
      </c>
      <c r="C49" s="57" t="s">
        <v>92</v>
      </c>
      <c r="D49" s="22">
        <f t="shared" si="0"/>
        <v>280.17</v>
      </c>
      <c r="E49" s="22">
        <f t="shared" si="1"/>
        <v>16.77</v>
      </c>
      <c r="F49" s="22">
        <f t="shared" si="2"/>
        <v>20.96</v>
      </c>
      <c r="G49" s="22">
        <f t="shared" si="3"/>
        <v>296.94</v>
      </c>
      <c r="H49" s="22">
        <f t="shared" si="4"/>
        <v>301.13</v>
      </c>
      <c r="J49" s="9"/>
      <c r="K49" s="11" t="s">
        <v>91</v>
      </c>
      <c r="L49" s="63" t="s">
        <v>92</v>
      </c>
      <c r="M49" s="1371"/>
      <c r="N49" s="1372"/>
      <c r="O49" s="1372"/>
      <c r="P49" s="1369"/>
      <c r="Q49" s="1370"/>
      <c r="R49" s="1392">
        <v>247.82</v>
      </c>
      <c r="S49" s="1393">
        <v>16.77</v>
      </c>
      <c r="T49" s="1393">
        <v>20.96</v>
      </c>
      <c r="U49" s="1390">
        <f>R49+S49</f>
        <v>264.58999999999997</v>
      </c>
      <c r="V49" s="1391">
        <f>R49+T49</f>
        <v>268.77999999999997</v>
      </c>
      <c r="W49" s="561">
        <v>258.61</v>
      </c>
      <c r="X49" s="562">
        <v>16.77</v>
      </c>
      <c r="Y49" s="562">
        <v>20.96</v>
      </c>
      <c r="Z49" s="559">
        <v>275.38</v>
      </c>
      <c r="AA49" s="560">
        <v>279.57</v>
      </c>
      <c r="AB49" s="561">
        <v>269.39</v>
      </c>
      <c r="AC49" s="562">
        <v>16.77</v>
      </c>
      <c r="AD49" s="562">
        <v>20.96</v>
      </c>
      <c r="AE49" s="559">
        <v>286.16000000000003</v>
      </c>
      <c r="AF49" s="560">
        <v>290.35000000000002</v>
      </c>
      <c r="AG49" s="561">
        <v>280.17</v>
      </c>
      <c r="AH49" s="562">
        <v>16.77</v>
      </c>
      <c r="AI49" s="562">
        <v>20.96</v>
      </c>
      <c r="AJ49" s="559">
        <v>296.94</v>
      </c>
      <c r="AK49" s="560">
        <v>301.13</v>
      </c>
      <c r="AL49" s="561">
        <v>290.95999999999998</v>
      </c>
      <c r="AM49" s="562">
        <v>16.77</v>
      </c>
      <c r="AN49" s="562">
        <v>20.96</v>
      </c>
      <c r="AO49" s="559">
        <v>307.73</v>
      </c>
      <c r="AP49" s="560">
        <v>311.92</v>
      </c>
      <c r="AQ49" s="561">
        <v>301.74</v>
      </c>
      <c r="AR49" s="562">
        <v>16.77</v>
      </c>
      <c r="AS49" s="562">
        <v>20.96</v>
      </c>
      <c r="AT49" s="559">
        <v>318.51</v>
      </c>
      <c r="AU49" s="560">
        <v>322.7</v>
      </c>
      <c r="AV49" s="561">
        <v>312.52</v>
      </c>
      <c r="AW49" s="562">
        <v>16.77</v>
      </c>
      <c r="AX49" s="562">
        <v>20.96</v>
      </c>
      <c r="AY49" s="559">
        <v>329.29</v>
      </c>
      <c r="AZ49" s="560">
        <v>333.48</v>
      </c>
      <c r="BA49" s="561">
        <v>323.31</v>
      </c>
      <c r="BB49" s="562">
        <v>16.77</v>
      </c>
      <c r="BC49" s="562">
        <v>20.96</v>
      </c>
      <c r="BD49" s="559">
        <v>340.08</v>
      </c>
      <c r="BE49" s="560">
        <v>344.27</v>
      </c>
      <c r="BF49" s="561">
        <v>334.09</v>
      </c>
      <c r="BG49" s="562">
        <v>16.77</v>
      </c>
      <c r="BH49" s="562">
        <v>20.96</v>
      </c>
      <c r="BI49" s="559">
        <v>350.86</v>
      </c>
      <c r="BJ49" s="560">
        <v>355.05</v>
      </c>
      <c r="BK49" s="561">
        <v>344.87</v>
      </c>
      <c r="BL49" s="562">
        <v>16.77</v>
      </c>
      <c r="BM49" s="562">
        <v>20.96</v>
      </c>
      <c r="BN49" s="559">
        <v>361.64</v>
      </c>
      <c r="BO49" s="560">
        <v>365.83</v>
      </c>
      <c r="BP49" s="561">
        <v>355.66</v>
      </c>
      <c r="BQ49" s="562">
        <v>16.77</v>
      </c>
      <c r="BR49" s="562">
        <v>20.96</v>
      </c>
      <c r="BS49" s="559">
        <v>372.43</v>
      </c>
      <c r="BT49" s="560">
        <v>376.62</v>
      </c>
      <c r="BU49" s="561">
        <v>366.44</v>
      </c>
      <c r="BV49" s="562">
        <v>16.77</v>
      </c>
      <c r="BW49" s="562">
        <v>20.96</v>
      </c>
      <c r="BX49" s="559">
        <v>383.21</v>
      </c>
      <c r="BY49" s="560">
        <v>387.4</v>
      </c>
      <c r="BZ49" s="561">
        <v>377.22</v>
      </c>
      <c r="CA49" s="562">
        <v>16.77</v>
      </c>
      <c r="CB49" s="562">
        <v>20.96</v>
      </c>
      <c r="CC49" s="559">
        <v>393.99</v>
      </c>
      <c r="CD49" s="560">
        <v>398.18</v>
      </c>
      <c r="CE49" s="561">
        <v>388.01</v>
      </c>
      <c r="CF49" s="562">
        <v>16.77</v>
      </c>
      <c r="CG49" s="562">
        <v>20.96</v>
      </c>
      <c r="CH49" s="559">
        <v>404.78</v>
      </c>
      <c r="CI49" s="560">
        <v>408.97</v>
      </c>
      <c r="CJ49" s="4">
        <v>398.79</v>
      </c>
      <c r="CK49" s="4">
        <v>16.77</v>
      </c>
      <c r="CL49" s="4">
        <v>20.96</v>
      </c>
      <c r="CM49" s="4">
        <v>415.56</v>
      </c>
      <c r="CN49" s="4">
        <v>419.75</v>
      </c>
      <c r="CO49" s="4">
        <v>409.58</v>
      </c>
      <c r="CP49" s="4">
        <v>16.77</v>
      </c>
      <c r="CQ49" s="4">
        <v>20.96</v>
      </c>
      <c r="CR49" s="4">
        <v>426.35</v>
      </c>
      <c r="CS49" s="4">
        <v>430.54</v>
      </c>
      <c r="CT49" s="4">
        <v>420.36</v>
      </c>
      <c r="CU49" s="4">
        <v>16.77</v>
      </c>
      <c r="CV49" s="4">
        <v>20.96</v>
      </c>
      <c r="CW49" s="4">
        <v>437.13</v>
      </c>
      <c r="CX49" s="4">
        <v>441.32</v>
      </c>
      <c r="CY49" s="4">
        <v>431.14</v>
      </c>
      <c r="CZ49" s="4">
        <v>16.77</v>
      </c>
      <c r="DA49" s="4">
        <v>20.96</v>
      </c>
      <c r="DB49" s="4">
        <v>447.91</v>
      </c>
      <c r="DC49" s="4">
        <v>452.1</v>
      </c>
      <c r="DD49" s="4">
        <v>441.93</v>
      </c>
      <c r="DE49" s="4">
        <v>16.77</v>
      </c>
      <c r="DF49" s="4">
        <v>20.96</v>
      </c>
      <c r="DG49" s="4">
        <v>458.7</v>
      </c>
      <c r="DH49" s="4">
        <v>462.89</v>
      </c>
      <c r="DI49" s="4">
        <v>452.71</v>
      </c>
      <c r="DJ49" s="4">
        <v>16.77</v>
      </c>
      <c r="DK49" s="4">
        <v>20.96</v>
      </c>
      <c r="DL49" s="4">
        <v>469.48</v>
      </c>
      <c r="DM49" s="4">
        <v>473.67</v>
      </c>
      <c r="DN49" s="4">
        <v>463.49</v>
      </c>
      <c r="DO49" s="4">
        <v>16.77</v>
      </c>
      <c r="DP49" s="4">
        <v>20.96</v>
      </c>
      <c r="DQ49" s="4">
        <v>480.26</v>
      </c>
      <c r="DR49" s="4">
        <v>484.45</v>
      </c>
      <c r="DS49" s="4">
        <v>474.28</v>
      </c>
      <c r="DT49" s="4">
        <v>16.77</v>
      </c>
      <c r="DU49" s="4">
        <v>20.96</v>
      </c>
      <c r="DV49" s="4">
        <v>491.05</v>
      </c>
      <c r="DW49" s="4">
        <v>495.24</v>
      </c>
    </row>
    <row r="50" spans="1:127" ht="21.75">
      <c r="A50" s="9"/>
      <c r="B50" s="11" t="s">
        <v>93</v>
      </c>
      <c r="C50" s="57"/>
      <c r="D50" s="22"/>
      <c r="E50" s="22"/>
      <c r="F50" s="22"/>
      <c r="G50" s="22"/>
      <c r="H50" s="22"/>
      <c r="J50" s="9"/>
      <c r="K50" s="11" t="s">
        <v>93</v>
      </c>
      <c r="L50" s="63"/>
      <c r="M50" s="1371"/>
      <c r="N50" s="1372"/>
      <c r="O50" s="1372"/>
      <c r="P50" s="1372"/>
      <c r="Q50" s="1373"/>
      <c r="R50" s="1392"/>
      <c r="S50" s="1393"/>
      <c r="T50" s="1393"/>
      <c r="U50" s="1393"/>
      <c r="V50" s="1394"/>
      <c r="W50" s="561"/>
      <c r="X50" s="562"/>
      <c r="Y50" s="562"/>
      <c r="Z50" s="562"/>
      <c r="AA50" s="563"/>
      <c r="AB50" s="561"/>
      <c r="AC50" s="562"/>
      <c r="AD50" s="562"/>
      <c r="AE50" s="562"/>
      <c r="AF50" s="563"/>
      <c r="AG50" s="561"/>
      <c r="AH50" s="562"/>
      <c r="AI50" s="562"/>
      <c r="AJ50" s="562"/>
      <c r="AK50" s="563"/>
      <c r="AL50" s="561"/>
      <c r="AM50" s="562"/>
      <c r="AN50" s="562"/>
      <c r="AO50" s="562"/>
      <c r="AP50" s="563"/>
      <c r="AQ50" s="561"/>
      <c r="AR50" s="562"/>
      <c r="AS50" s="562"/>
      <c r="AT50" s="562"/>
      <c r="AU50" s="563"/>
      <c r="AV50" s="561"/>
      <c r="AW50" s="562"/>
      <c r="AX50" s="562"/>
      <c r="AY50" s="562"/>
      <c r="AZ50" s="563"/>
      <c r="BA50" s="561"/>
      <c r="BB50" s="562"/>
      <c r="BC50" s="562"/>
      <c r="BD50" s="562"/>
      <c r="BE50" s="563"/>
      <c r="BF50" s="561"/>
      <c r="BG50" s="562"/>
      <c r="BH50" s="562"/>
      <c r="BI50" s="562"/>
      <c r="BJ50" s="563"/>
      <c r="BK50" s="561"/>
      <c r="BL50" s="562"/>
      <c r="BM50" s="562"/>
      <c r="BN50" s="562"/>
      <c r="BO50" s="563"/>
      <c r="BP50" s="561"/>
      <c r="BQ50" s="562"/>
      <c r="BR50" s="562"/>
      <c r="BS50" s="562"/>
      <c r="BT50" s="563"/>
      <c r="BU50" s="561"/>
      <c r="BV50" s="562"/>
      <c r="BW50" s="562"/>
      <c r="BX50" s="562"/>
      <c r="BY50" s="563"/>
      <c r="BZ50" s="561"/>
      <c r="CA50" s="562"/>
      <c r="CB50" s="562"/>
      <c r="CC50" s="562"/>
      <c r="CD50" s="563"/>
      <c r="CE50" s="561"/>
      <c r="CF50" s="562"/>
      <c r="CG50" s="562"/>
      <c r="CH50" s="562"/>
      <c r="CI50" s="563"/>
    </row>
    <row r="51" spans="1:127" ht="21.75">
      <c r="A51" s="9"/>
      <c r="B51" s="11" t="s">
        <v>94</v>
      </c>
      <c r="C51" s="57" t="s">
        <v>95</v>
      </c>
      <c r="D51" s="22">
        <f t="shared" si="0"/>
        <v>250000</v>
      </c>
      <c r="E51" s="22"/>
      <c r="F51" s="22"/>
      <c r="G51" s="22"/>
      <c r="H51" s="22"/>
      <c r="J51" s="9"/>
      <c r="K51" s="11" t="s">
        <v>94</v>
      </c>
      <c r="L51" s="63" t="s">
        <v>95</v>
      </c>
      <c r="M51" s="1371"/>
      <c r="N51" s="1372"/>
      <c r="O51" s="1372"/>
      <c r="P51" s="1372"/>
      <c r="Q51" s="1373"/>
      <c r="R51" s="1392">
        <v>250000</v>
      </c>
      <c r="S51" s="1393"/>
      <c r="T51" s="1393"/>
      <c r="U51" s="1393"/>
      <c r="V51" s="1394"/>
      <c r="W51" s="561">
        <v>250000</v>
      </c>
      <c r="X51" s="562"/>
      <c r="Y51" s="562"/>
      <c r="Z51" s="562"/>
      <c r="AA51" s="563"/>
      <c r="AB51" s="561">
        <v>250000</v>
      </c>
      <c r="AC51" s="562"/>
      <c r="AD51" s="562"/>
      <c r="AE51" s="562"/>
      <c r="AF51" s="563"/>
      <c r="AG51" s="561">
        <v>250000</v>
      </c>
      <c r="AH51" s="562"/>
      <c r="AI51" s="562"/>
      <c r="AJ51" s="562"/>
      <c r="AK51" s="563"/>
      <c r="AL51" s="561">
        <v>250000</v>
      </c>
      <c r="AM51" s="562"/>
      <c r="AN51" s="562"/>
      <c r="AO51" s="562"/>
      <c r="AP51" s="563"/>
      <c r="AQ51" s="561">
        <v>250000</v>
      </c>
      <c r="AR51" s="562"/>
      <c r="AS51" s="562"/>
      <c r="AT51" s="562"/>
      <c r="AU51" s="563"/>
      <c r="AV51" s="561">
        <v>250000</v>
      </c>
      <c r="AW51" s="562"/>
      <c r="AX51" s="562"/>
      <c r="AY51" s="562"/>
      <c r="AZ51" s="563"/>
      <c r="BA51" s="561">
        <v>250000</v>
      </c>
      <c r="BB51" s="562"/>
      <c r="BC51" s="562"/>
      <c r="BD51" s="562"/>
      <c r="BE51" s="563"/>
      <c r="BF51" s="561">
        <v>250000</v>
      </c>
      <c r="BG51" s="562"/>
      <c r="BH51" s="562"/>
      <c r="BI51" s="562"/>
      <c r="BJ51" s="563"/>
      <c r="BK51" s="561">
        <v>250000</v>
      </c>
      <c r="BL51" s="562"/>
      <c r="BM51" s="562"/>
      <c r="BN51" s="562"/>
      <c r="BO51" s="563"/>
      <c r="BP51" s="561">
        <v>250000</v>
      </c>
      <c r="BQ51" s="562"/>
      <c r="BR51" s="562"/>
      <c r="BS51" s="562"/>
      <c r="BT51" s="563"/>
      <c r="BU51" s="561">
        <v>250000</v>
      </c>
      <c r="BV51" s="562"/>
      <c r="BW51" s="562"/>
      <c r="BX51" s="562"/>
      <c r="BY51" s="563"/>
      <c r="BZ51" s="561">
        <v>250000</v>
      </c>
      <c r="CA51" s="562"/>
      <c r="CB51" s="562"/>
      <c r="CC51" s="562"/>
      <c r="CD51" s="563"/>
      <c r="CE51" s="561">
        <v>250000</v>
      </c>
      <c r="CF51" s="562"/>
      <c r="CG51" s="562"/>
      <c r="CH51" s="562"/>
      <c r="CI51" s="563"/>
      <c r="CJ51" s="4">
        <v>250000</v>
      </c>
      <c r="CO51" s="4">
        <v>250000</v>
      </c>
      <c r="CT51" s="4">
        <v>250000</v>
      </c>
      <c r="CY51" s="4">
        <v>250000</v>
      </c>
      <c r="DD51" s="4">
        <v>250000</v>
      </c>
      <c r="DI51" s="4">
        <v>250000</v>
      </c>
      <c r="DN51" s="4">
        <v>250000</v>
      </c>
      <c r="DS51" s="4">
        <v>250000</v>
      </c>
    </row>
    <row r="52" spans="1:127" ht="21.75">
      <c r="A52" s="9"/>
      <c r="B52" s="11" t="s">
        <v>96</v>
      </c>
      <c r="C52" s="57"/>
      <c r="D52" s="22">
        <f t="shared" si="0"/>
        <v>0</v>
      </c>
      <c r="E52" s="22">
        <f t="shared" si="1"/>
        <v>0</v>
      </c>
      <c r="F52" s="22">
        <f t="shared" si="2"/>
        <v>0</v>
      </c>
      <c r="G52" s="22">
        <f t="shared" si="3"/>
        <v>0</v>
      </c>
      <c r="H52" s="22">
        <f t="shared" si="4"/>
        <v>0</v>
      </c>
      <c r="J52" s="9"/>
      <c r="K52" s="11" t="s">
        <v>96</v>
      </c>
      <c r="L52" s="63"/>
      <c r="M52" s="1371"/>
      <c r="N52" s="1372"/>
      <c r="O52" s="1372"/>
      <c r="P52" s="1372"/>
      <c r="Q52" s="1373"/>
      <c r="R52" s="1392"/>
      <c r="S52" s="1393"/>
      <c r="T52" s="1393"/>
      <c r="U52" s="1393"/>
      <c r="V52" s="1394"/>
      <c r="W52" s="561"/>
      <c r="X52" s="562"/>
      <c r="Y52" s="562"/>
      <c r="Z52" s="562"/>
      <c r="AA52" s="563"/>
      <c r="AB52" s="561"/>
      <c r="AC52" s="562"/>
      <c r="AD52" s="562"/>
      <c r="AE52" s="562"/>
      <c r="AF52" s="563"/>
      <c r="AG52" s="561"/>
      <c r="AH52" s="562"/>
      <c r="AI52" s="562"/>
      <c r="AJ52" s="562"/>
      <c r="AK52" s="563"/>
      <c r="AL52" s="561"/>
      <c r="AM52" s="562"/>
      <c r="AN52" s="562"/>
      <c r="AO52" s="562"/>
      <c r="AP52" s="563"/>
      <c r="AQ52" s="561"/>
      <c r="AR52" s="562"/>
      <c r="AS52" s="562"/>
      <c r="AT52" s="562"/>
      <c r="AU52" s="563"/>
      <c r="AV52" s="561"/>
      <c r="AW52" s="562"/>
      <c r="AX52" s="562"/>
      <c r="AY52" s="562"/>
      <c r="AZ52" s="563"/>
      <c r="BA52" s="561"/>
      <c r="BB52" s="562"/>
      <c r="BC52" s="562"/>
      <c r="BD52" s="562"/>
      <c r="BE52" s="563"/>
      <c r="BF52" s="561"/>
      <c r="BG52" s="562"/>
      <c r="BH52" s="562"/>
      <c r="BI52" s="562"/>
      <c r="BJ52" s="563"/>
      <c r="BK52" s="561"/>
      <c r="BL52" s="562"/>
      <c r="BM52" s="562"/>
      <c r="BN52" s="562"/>
      <c r="BO52" s="563"/>
      <c r="BP52" s="561"/>
      <c r="BQ52" s="562"/>
      <c r="BR52" s="562"/>
      <c r="BS52" s="562"/>
      <c r="BT52" s="563"/>
      <c r="BU52" s="561"/>
      <c r="BV52" s="562"/>
      <c r="BW52" s="562"/>
      <c r="BX52" s="562"/>
      <c r="BY52" s="563"/>
      <c r="BZ52" s="561"/>
      <c r="CA52" s="562"/>
      <c r="CB52" s="562"/>
      <c r="CC52" s="562"/>
      <c r="CD52" s="563"/>
      <c r="CE52" s="561"/>
      <c r="CF52" s="562"/>
      <c r="CG52" s="562"/>
      <c r="CH52" s="562"/>
      <c r="CI52" s="563"/>
    </row>
    <row r="53" spans="1:127" ht="21.75">
      <c r="A53" s="9"/>
      <c r="B53" s="11" t="s">
        <v>97</v>
      </c>
      <c r="C53" s="57" t="s">
        <v>7</v>
      </c>
      <c r="D53" s="22">
        <f t="shared" si="0"/>
        <v>10.88</v>
      </c>
      <c r="E53" s="22">
        <f t="shared" si="1"/>
        <v>2.82</v>
      </c>
      <c r="F53" s="22">
        <f t="shared" si="2"/>
        <v>3.53</v>
      </c>
      <c r="G53" s="22">
        <f t="shared" si="3"/>
        <v>13.7</v>
      </c>
      <c r="H53" s="22">
        <f t="shared" si="4"/>
        <v>14.41</v>
      </c>
      <c r="J53" s="9"/>
      <c r="K53" s="11" t="s">
        <v>97</v>
      </c>
      <c r="L53" s="63" t="s">
        <v>7</v>
      </c>
      <c r="M53" s="1371"/>
      <c r="N53" s="1372"/>
      <c r="O53" s="1372"/>
      <c r="P53" s="1369"/>
      <c r="Q53" s="1370"/>
      <c r="R53" s="1392">
        <v>10.38</v>
      </c>
      <c r="S53" s="1393">
        <v>2.82</v>
      </c>
      <c r="T53" s="1393">
        <v>3.53</v>
      </c>
      <c r="U53" s="1390">
        <f>R53+S53</f>
        <v>13.200000000000001</v>
      </c>
      <c r="V53" s="1391">
        <f>R53+T53</f>
        <v>13.91</v>
      </c>
      <c r="W53" s="561">
        <v>10.55</v>
      </c>
      <c r="X53" s="562">
        <v>2.82</v>
      </c>
      <c r="Y53" s="562">
        <v>3.53</v>
      </c>
      <c r="Z53" s="559">
        <v>13.37</v>
      </c>
      <c r="AA53" s="560">
        <v>14.08</v>
      </c>
      <c r="AB53" s="561">
        <v>10.71</v>
      </c>
      <c r="AC53" s="562">
        <v>2.82</v>
      </c>
      <c r="AD53" s="562">
        <v>3.53</v>
      </c>
      <c r="AE53" s="559">
        <v>13.53</v>
      </c>
      <c r="AF53" s="560">
        <v>14.24</v>
      </c>
      <c r="AG53" s="561">
        <v>10.88</v>
      </c>
      <c r="AH53" s="562">
        <v>2.82</v>
      </c>
      <c r="AI53" s="562">
        <v>3.53</v>
      </c>
      <c r="AJ53" s="559">
        <v>13.7</v>
      </c>
      <c r="AK53" s="560">
        <v>14.41</v>
      </c>
      <c r="AL53" s="561">
        <v>11.04</v>
      </c>
      <c r="AM53" s="562">
        <v>2.82</v>
      </c>
      <c r="AN53" s="562">
        <v>3.53</v>
      </c>
      <c r="AO53" s="559">
        <v>13.86</v>
      </c>
      <c r="AP53" s="560">
        <v>14.57</v>
      </c>
      <c r="AQ53" s="561">
        <v>11.21</v>
      </c>
      <c r="AR53" s="562">
        <v>2.82</v>
      </c>
      <c r="AS53" s="562">
        <v>3.53</v>
      </c>
      <c r="AT53" s="559">
        <v>14.03</v>
      </c>
      <c r="AU53" s="560">
        <v>14.74</v>
      </c>
      <c r="AV53" s="561">
        <v>11.37</v>
      </c>
      <c r="AW53" s="562">
        <v>2.82</v>
      </c>
      <c r="AX53" s="562">
        <v>3.53</v>
      </c>
      <c r="AY53" s="559">
        <v>14.19</v>
      </c>
      <c r="AZ53" s="560">
        <v>14.9</v>
      </c>
      <c r="BA53" s="561">
        <v>11.54</v>
      </c>
      <c r="BB53" s="562">
        <v>2.82</v>
      </c>
      <c r="BC53" s="562">
        <v>3.53</v>
      </c>
      <c r="BD53" s="559">
        <v>14.36</v>
      </c>
      <c r="BE53" s="560">
        <v>15.07</v>
      </c>
      <c r="BF53" s="561">
        <v>11.7</v>
      </c>
      <c r="BG53" s="562">
        <v>2.82</v>
      </c>
      <c r="BH53" s="562">
        <v>3.53</v>
      </c>
      <c r="BI53" s="559">
        <v>14.52</v>
      </c>
      <c r="BJ53" s="560">
        <v>15.23</v>
      </c>
      <c r="BK53" s="561">
        <v>11.87</v>
      </c>
      <c r="BL53" s="562">
        <v>2.82</v>
      </c>
      <c r="BM53" s="562">
        <v>3.53</v>
      </c>
      <c r="BN53" s="559">
        <v>14.69</v>
      </c>
      <c r="BO53" s="560">
        <v>15.4</v>
      </c>
      <c r="BP53" s="561">
        <v>12.03</v>
      </c>
      <c r="BQ53" s="562">
        <v>2.82</v>
      </c>
      <c r="BR53" s="562">
        <v>3.53</v>
      </c>
      <c r="BS53" s="559">
        <v>14.85</v>
      </c>
      <c r="BT53" s="560">
        <v>15.56</v>
      </c>
      <c r="BU53" s="561">
        <v>12.2</v>
      </c>
      <c r="BV53" s="562">
        <v>2.82</v>
      </c>
      <c r="BW53" s="562">
        <v>3.53</v>
      </c>
      <c r="BX53" s="559">
        <v>15.02</v>
      </c>
      <c r="BY53" s="560">
        <v>15.73</v>
      </c>
      <c r="BZ53" s="561">
        <v>12.36</v>
      </c>
      <c r="CA53" s="562">
        <v>2.82</v>
      </c>
      <c r="CB53" s="562">
        <v>3.53</v>
      </c>
      <c r="CC53" s="559">
        <v>15.18</v>
      </c>
      <c r="CD53" s="560">
        <v>15.89</v>
      </c>
      <c r="CE53" s="561">
        <v>12.53</v>
      </c>
      <c r="CF53" s="562">
        <v>2.82</v>
      </c>
      <c r="CG53" s="562">
        <v>3.53</v>
      </c>
      <c r="CH53" s="559">
        <v>15.35</v>
      </c>
      <c r="CI53" s="560">
        <v>16.059999999999999</v>
      </c>
      <c r="CJ53" s="4">
        <v>12.7</v>
      </c>
      <c r="CK53" s="4">
        <v>2.82</v>
      </c>
      <c r="CL53" s="4">
        <v>3.53</v>
      </c>
      <c r="CM53" s="4">
        <v>15.52</v>
      </c>
      <c r="CN53" s="4">
        <v>16.23</v>
      </c>
      <c r="CO53" s="4">
        <v>12.86</v>
      </c>
      <c r="CP53" s="4">
        <v>2.82</v>
      </c>
      <c r="CQ53" s="4">
        <v>3.53</v>
      </c>
      <c r="CR53" s="4">
        <v>15.68</v>
      </c>
      <c r="CS53" s="4">
        <v>16.39</v>
      </c>
      <c r="CT53" s="4">
        <v>13.03</v>
      </c>
      <c r="CU53" s="4">
        <v>2.82</v>
      </c>
      <c r="CV53" s="4">
        <v>3.53</v>
      </c>
      <c r="CW53" s="4">
        <v>15.85</v>
      </c>
      <c r="CX53" s="4">
        <v>16.559999999999999</v>
      </c>
      <c r="CY53" s="4">
        <v>13.19</v>
      </c>
      <c r="CZ53" s="4">
        <v>2.82</v>
      </c>
      <c r="DA53" s="4">
        <v>3.53</v>
      </c>
      <c r="DB53" s="4">
        <v>16.010000000000002</v>
      </c>
      <c r="DC53" s="4">
        <v>16.72</v>
      </c>
      <c r="DD53" s="4">
        <v>13.36</v>
      </c>
      <c r="DE53" s="4">
        <v>2.82</v>
      </c>
      <c r="DF53" s="4">
        <v>3.53</v>
      </c>
      <c r="DG53" s="4">
        <v>16.18</v>
      </c>
      <c r="DH53" s="4">
        <v>16.89</v>
      </c>
      <c r="DI53" s="4">
        <v>13.52</v>
      </c>
      <c r="DJ53" s="4">
        <v>2.82</v>
      </c>
      <c r="DK53" s="4">
        <v>3.53</v>
      </c>
      <c r="DL53" s="4">
        <v>16.34</v>
      </c>
      <c r="DM53" s="4">
        <v>17.05</v>
      </c>
      <c r="DN53" s="4">
        <v>13.69</v>
      </c>
      <c r="DO53" s="4">
        <v>2.82</v>
      </c>
      <c r="DP53" s="4">
        <v>3.53</v>
      </c>
      <c r="DQ53" s="4">
        <v>16.510000000000002</v>
      </c>
      <c r="DR53" s="4">
        <v>17.22</v>
      </c>
      <c r="DS53" s="4">
        <v>13.85</v>
      </c>
      <c r="DT53" s="4">
        <v>2.82</v>
      </c>
      <c r="DU53" s="4">
        <v>3.53</v>
      </c>
      <c r="DV53" s="4">
        <v>16.670000000000002</v>
      </c>
      <c r="DW53" s="4">
        <v>17.38</v>
      </c>
    </row>
    <row r="54" spans="1:127" ht="21.75">
      <c r="A54" s="9"/>
      <c r="B54" s="11" t="s">
        <v>98</v>
      </c>
      <c r="C54" s="57" t="s">
        <v>7</v>
      </c>
      <c r="D54" s="22">
        <f t="shared" si="0"/>
        <v>8.58</v>
      </c>
      <c r="E54" s="22">
        <f t="shared" si="1"/>
        <v>2.2799999999999998</v>
      </c>
      <c r="F54" s="22">
        <f t="shared" si="2"/>
        <v>2.85</v>
      </c>
      <c r="G54" s="22">
        <f t="shared" si="3"/>
        <v>10.86</v>
      </c>
      <c r="H54" s="22">
        <f t="shared" si="4"/>
        <v>11.43</v>
      </c>
      <c r="J54" s="9"/>
      <c r="K54" s="11" t="s">
        <v>98</v>
      </c>
      <c r="L54" s="63" t="s">
        <v>7</v>
      </c>
      <c r="M54" s="1371"/>
      <c r="N54" s="1372"/>
      <c r="O54" s="1372"/>
      <c r="P54" s="1369"/>
      <c r="Q54" s="1370"/>
      <c r="R54" s="1392">
        <v>8.25</v>
      </c>
      <c r="S54" s="1393">
        <v>2.2799999999999998</v>
      </c>
      <c r="T54" s="1393">
        <v>2.85</v>
      </c>
      <c r="U54" s="1390">
        <f>R54+S54</f>
        <v>10.53</v>
      </c>
      <c r="V54" s="1391">
        <f>R54+T54</f>
        <v>11.1</v>
      </c>
      <c r="W54" s="561">
        <v>8.36</v>
      </c>
      <c r="X54" s="562">
        <v>2.2799999999999998</v>
      </c>
      <c r="Y54" s="562">
        <v>2.85</v>
      </c>
      <c r="Z54" s="559">
        <v>10.64</v>
      </c>
      <c r="AA54" s="560">
        <v>11.21</v>
      </c>
      <c r="AB54" s="561">
        <v>8.4700000000000006</v>
      </c>
      <c r="AC54" s="562">
        <v>2.2799999999999998</v>
      </c>
      <c r="AD54" s="562">
        <v>2.85</v>
      </c>
      <c r="AE54" s="559">
        <v>10.75</v>
      </c>
      <c r="AF54" s="560">
        <v>11.32</v>
      </c>
      <c r="AG54" s="561">
        <v>8.58</v>
      </c>
      <c r="AH54" s="562">
        <v>2.2799999999999998</v>
      </c>
      <c r="AI54" s="562">
        <v>2.85</v>
      </c>
      <c r="AJ54" s="559">
        <v>10.86</v>
      </c>
      <c r="AK54" s="560">
        <v>11.43</v>
      </c>
      <c r="AL54" s="561">
        <v>8.69</v>
      </c>
      <c r="AM54" s="562">
        <v>2.2799999999999998</v>
      </c>
      <c r="AN54" s="562">
        <v>2.85</v>
      </c>
      <c r="AO54" s="559">
        <v>10.97</v>
      </c>
      <c r="AP54" s="560">
        <v>11.54</v>
      </c>
      <c r="AQ54" s="561">
        <v>8.8000000000000007</v>
      </c>
      <c r="AR54" s="562">
        <v>2.2799999999999998</v>
      </c>
      <c r="AS54" s="562">
        <v>2.85</v>
      </c>
      <c r="AT54" s="559">
        <v>11.08</v>
      </c>
      <c r="AU54" s="560">
        <v>11.65</v>
      </c>
      <c r="AV54" s="561">
        <v>8.91</v>
      </c>
      <c r="AW54" s="562">
        <v>2.2799999999999998</v>
      </c>
      <c r="AX54" s="562">
        <v>2.85</v>
      </c>
      <c r="AY54" s="559">
        <v>11.19</v>
      </c>
      <c r="AZ54" s="560">
        <v>11.76</v>
      </c>
      <c r="BA54" s="561">
        <v>9.02</v>
      </c>
      <c r="BB54" s="562">
        <v>2.2799999999999998</v>
      </c>
      <c r="BC54" s="562">
        <v>2.85</v>
      </c>
      <c r="BD54" s="559">
        <v>11.3</v>
      </c>
      <c r="BE54" s="560">
        <v>11.87</v>
      </c>
      <c r="BF54" s="561">
        <v>9.1300000000000008</v>
      </c>
      <c r="BG54" s="562">
        <v>2.2799999999999998</v>
      </c>
      <c r="BH54" s="562">
        <v>2.85</v>
      </c>
      <c r="BI54" s="559">
        <v>11.41</v>
      </c>
      <c r="BJ54" s="560">
        <v>11.98</v>
      </c>
      <c r="BK54" s="561">
        <v>9.24</v>
      </c>
      <c r="BL54" s="562">
        <v>2.2799999999999998</v>
      </c>
      <c r="BM54" s="562">
        <v>2.85</v>
      </c>
      <c r="BN54" s="559">
        <v>11.52</v>
      </c>
      <c r="BO54" s="560">
        <v>12.09</v>
      </c>
      <c r="BP54" s="561">
        <v>9.35</v>
      </c>
      <c r="BQ54" s="562">
        <v>2.2799999999999998</v>
      </c>
      <c r="BR54" s="562">
        <v>2.85</v>
      </c>
      <c r="BS54" s="559">
        <v>11.63</v>
      </c>
      <c r="BT54" s="560">
        <v>12.2</v>
      </c>
      <c r="BU54" s="561">
        <v>9.4600000000000009</v>
      </c>
      <c r="BV54" s="562">
        <v>2.2799999999999998</v>
      </c>
      <c r="BW54" s="562">
        <v>2.85</v>
      </c>
      <c r="BX54" s="559">
        <v>11.74</v>
      </c>
      <c r="BY54" s="560">
        <v>12.31</v>
      </c>
      <c r="BZ54" s="561">
        <v>9.57</v>
      </c>
      <c r="CA54" s="562">
        <v>2.2799999999999998</v>
      </c>
      <c r="CB54" s="562">
        <v>2.85</v>
      </c>
      <c r="CC54" s="559">
        <v>11.85</v>
      </c>
      <c r="CD54" s="560">
        <v>12.42</v>
      </c>
      <c r="CE54" s="561">
        <v>9.68</v>
      </c>
      <c r="CF54" s="562">
        <v>2.2799999999999998</v>
      </c>
      <c r="CG54" s="562">
        <v>2.85</v>
      </c>
      <c r="CH54" s="559">
        <v>11.96</v>
      </c>
      <c r="CI54" s="560">
        <v>12.53</v>
      </c>
      <c r="CJ54" s="4">
        <v>9.7899999999999991</v>
      </c>
      <c r="CK54" s="4">
        <v>2.2799999999999998</v>
      </c>
      <c r="CL54" s="4">
        <v>2.85</v>
      </c>
      <c r="CM54" s="4">
        <v>12.07</v>
      </c>
      <c r="CN54" s="4">
        <v>12.64</v>
      </c>
      <c r="CO54" s="4">
        <v>9.9</v>
      </c>
      <c r="CP54" s="4">
        <v>2.2799999999999998</v>
      </c>
      <c r="CQ54" s="4">
        <v>2.85</v>
      </c>
      <c r="CR54" s="4">
        <v>12.18</v>
      </c>
      <c r="CS54" s="4">
        <v>12.75</v>
      </c>
      <c r="CT54" s="4">
        <v>10.01</v>
      </c>
      <c r="CU54" s="4">
        <v>2.2799999999999998</v>
      </c>
      <c r="CV54" s="4">
        <v>2.85</v>
      </c>
      <c r="CW54" s="4">
        <v>12.29</v>
      </c>
      <c r="CX54" s="4">
        <v>12.86</v>
      </c>
      <c r="CY54" s="4">
        <v>10.130000000000001</v>
      </c>
      <c r="CZ54" s="4">
        <v>2.2799999999999998</v>
      </c>
      <c r="DA54" s="4">
        <v>2.85</v>
      </c>
      <c r="DB54" s="4">
        <v>12.41</v>
      </c>
      <c r="DC54" s="4">
        <v>12.98</v>
      </c>
      <c r="DD54" s="4">
        <v>10.24</v>
      </c>
      <c r="DE54" s="4">
        <v>2.2799999999999998</v>
      </c>
      <c r="DF54" s="4">
        <v>2.85</v>
      </c>
      <c r="DG54" s="4">
        <v>12.52</v>
      </c>
      <c r="DH54" s="4">
        <v>13.09</v>
      </c>
      <c r="DI54" s="4">
        <v>10.35</v>
      </c>
      <c r="DJ54" s="4">
        <v>2.2799999999999998</v>
      </c>
      <c r="DK54" s="4">
        <v>2.85</v>
      </c>
      <c r="DL54" s="4">
        <v>12.63</v>
      </c>
      <c r="DM54" s="4">
        <v>13.2</v>
      </c>
      <c r="DN54" s="4">
        <v>2.2799999999999998</v>
      </c>
      <c r="DO54" s="4">
        <v>2.85</v>
      </c>
      <c r="DP54" s="4">
        <v>12.74</v>
      </c>
      <c r="DQ54" s="4">
        <v>13.31</v>
      </c>
      <c r="DR54" s="4">
        <v>12.53</v>
      </c>
      <c r="DS54" s="4">
        <v>10.57</v>
      </c>
      <c r="DT54" s="4">
        <v>2.2799999999999998</v>
      </c>
      <c r="DU54" s="4">
        <v>2.85</v>
      </c>
      <c r="DV54" s="4">
        <v>12.85</v>
      </c>
      <c r="DW54" s="4">
        <v>13.42</v>
      </c>
    </row>
    <row r="55" spans="1:127" ht="21.75">
      <c r="A55" s="9">
        <v>14</v>
      </c>
      <c r="B55" s="11" t="s">
        <v>99</v>
      </c>
      <c r="C55" s="57"/>
      <c r="D55" s="22"/>
      <c r="E55" s="22"/>
      <c r="F55" s="22"/>
      <c r="G55" s="22"/>
      <c r="H55" s="22"/>
      <c r="J55" s="9">
        <v>14</v>
      </c>
      <c r="K55" s="11" t="s">
        <v>99</v>
      </c>
      <c r="L55" s="63"/>
      <c r="M55" s="1371"/>
      <c r="N55" s="1372"/>
      <c r="O55" s="1372"/>
      <c r="P55" s="1372"/>
      <c r="Q55" s="1373"/>
      <c r="R55" s="1392"/>
      <c r="S55" s="1393"/>
      <c r="T55" s="1393"/>
      <c r="U55" s="1393"/>
      <c r="V55" s="1394"/>
      <c r="W55" s="561"/>
      <c r="X55" s="562"/>
      <c r="Y55" s="562"/>
      <c r="Z55" s="562"/>
      <c r="AA55" s="563"/>
      <c r="AB55" s="561"/>
      <c r="AC55" s="562"/>
      <c r="AD55" s="562"/>
      <c r="AE55" s="562"/>
      <c r="AF55" s="563"/>
      <c r="AG55" s="561"/>
      <c r="AH55" s="562"/>
      <c r="AI55" s="562"/>
      <c r="AJ55" s="562"/>
      <c r="AK55" s="563"/>
      <c r="AL55" s="561"/>
      <c r="AM55" s="562"/>
      <c r="AN55" s="562"/>
      <c r="AO55" s="562"/>
      <c r="AP55" s="563"/>
      <c r="AQ55" s="561"/>
      <c r="AR55" s="562"/>
      <c r="AS55" s="562"/>
      <c r="AT55" s="562"/>
      <c r="AU55" s="563"/>
      <c r="AV55" s="561"/>
      <c r="AW55" s="562"/>
      <c r="AX55" s="562"/>
      <c r="AY55" s="562"/>
      <c r="AZ55" s="563"/>
      <c r="BA55" s="561"/>
      <c r="BB55" s="562"/>
      <c r="BC55" s="562"/>
      <c r="BD55" s="562"/>
      <c r="BE55" s="563"/>
      <c r="BF55" s="561"/>
      <c r="BG55" s="562"/>
      <c r="BH55" s="562"/>
      <c r="BI55" s="562"/>
      <c r="BJ55" s="563"/>
      <c r="BK55" s="561"/>
      <c r="BL55" s="562"/>
      <c r="BM55" s="562"/>
      <c r="BN55" s="562"/>
      <c r="BO55" s="563"/>
      <c r="BP55" s="561"/>
      <c r="BQ55" s="562"/>
      <c r="BR55" s="562"/>
      <c r="BS55" s="562"/>
      <c r="BT55" s="563"/>
      <c r="BU55" s="561"/>
      <c r="BV55" s="562"/>
      <c r="BW55" s="562"/>
      <c r="BX55" s="562"/>
      <c r="BY55" s="563"/>
      <c r="BZ55" s="561"/>
      <c r="CA55" s="562"/>
      <c r="CB55" s="562"/>
      <c r="CC55" s="562"/>
      <c r="CD55" s="563"/>
      <c r="CE55" s="561"/>
      <c r="CF55" s="562"/>
      <c r="CG55" s="562"/>
      <c r="CH55" s="562"/>
      <c r="CI55" s="563"/>
    </row>
    <row r="56" spans="1:127" ht="21.75">
      <c r="A56" s="9"/>
      <c r="B56" s="11" t="s">
        <v>100</v>
      </c>
      <c r="C56" s="57" t="s">
        <v>101</v>
      </c>
      <c r="D56" s="22">
        <f t="shared" si="0"/>
        <v>150000</v>
      </c>
      <c r="E56" s="22"/>
      <c r="F56" s="22"/>
      <c r="G56" s="22"/>
      <c r="H56" s="22"/>
      <c r="J56" s="9"/>
      <c r="K56" s="11" t="s">
        <v>100</v>
      </c>
      <c r="L56" s="63" t="s">
        <v>101</v>
      </c>
      <c r="M56" s="1371"/>
      <c r="N56" s="1372"/>
      <c r="O56" s="1372"/>
      <c r="P56" s="1372"/>
      <c r="Q56" s="1373"/>
      <c r="R56" s="1392">
        <v>150000</v>
      </c>
      <c r="S56" s="1393"/>
      <c r="T56" s="1393"/>
      <c r="U56" s="1393"/>
      <c r="V56" s="1394"/>
      <c r="W56" s="561">
        <v>150000</v>
      </c>
      <c r="X56" s="562"/>
      <c r="Y56" s="562"/>
      <c r="Z56" s="562"/>
      <c r="AA56" s="563"/>
      <c r="AB56" s="561">
        <v>150000</v>
      </c>
      <c r="AC56" s="562"/>
      <c r="AD56" s="562"/>
      <c r="AE56" s="562"/>
      <c r="AF56" s="563"/>
      <c r="AG56" s="561">
        <v>150000</v>
      </c>
      <c r="AH56" s="562"/>
      <c r="AI56" s="562"/>
      <c r="AJ56" s="562"/>
      <c r="AK56" s="563"/>
      <c r="AL56" s="561">
        <v>150000</v>
      </c>
      <c r="AM56" s="562"/>
      <c r="AN56" s="562"/>
      <c r="AO56" s="562"/>
      <c r="AP56" s="563"/>
      <c r="AQ56" s="561">
        <v>150000</v>
      </c>
      <c r="AR56" s="562"/>
      <c r="AS56" s="562"/>
      <c r="AT56" s="562"/>
      <c r="AU56" s="563"/>
      <c r="AV56" s="561">
        <v>150000</v>
      </c>
      <c r="AW56" s="562"/>
      <c r="AX56" s="562"/>
      <c r="AY56" s="562"/>
      <c r="AZ56" s="563"/>
      <c r="BA56" s="561">
        <v>150000</v>
      </c>
      <c r="BB56" s="562"/>
      <c r="BC56" s="562"/>
      <c r="BD56" s="562"/>
      <c r="BE56" s="563"/>
      <c r="BF56" s="561">
        <v>150000</v>
      </c>
      <c r="BG56" s="562"/>
      <c r="BH56" s="562"/>
      <c r="BI56" s="562"/>
      <c r="BJ56" s="563"/>
      <c r="BK56" s="561">
        <v>150000</v>
      </c>
      <c r="BL56" s="562"/>
      <c r="BM56" s="562"/>
      <c r="BN56" s="562"/>
      <c r="BO56" s="563"/>
      <c r="BP56" s="561">
        <v>150000</v>
      </c>
      <c r="BQ56" s="562"/>
      <c r="BR56" s="562"/>
      <c r="BS56" s="562"/>
      <c r="BT56" s="563"/>
      <c r="BU56" s="561">
        <v>150000</v>
      </c>
      <c r="BV56" s="562"/>
      <c r="BW56" s="562"/>
      <c r="BX56" s="562"/>
      <c r="BY56" s="563"/>
      <c r="BZ56" s="561">
        <v>150000</v>
      </c>
      <c r="CA56" s="562"/>
      <c r="CB56" s="562"/>
      <c r="CC56" s="562"/>
      <c r="CD56" s="563"/>
      <c r="CE56" s="561">
        <v>150000</v>
      </c>
      <c r="CF56" s="562"/>
      <c r="CG56" s="562"/>
      <c r="CH56" s="562"/>
      <c r="CI56" s="563"/>
      <c r="CJ56" s="4">
        <v>150000</v>
      </c>
      <c r="CO56" s="4">
        <v>150000</v>
      </c>
      <c r="CT56" s="4">
        <v>150000</v>
      </c>
      <c r="CY56" s="4">
        <v>150000</v>
      </c>
      <c r="DD56" s="4">
        <v>150000</v>
      </c>
      <c r="DI56" s="4">
        <v>150000</v>
      </c>
      <c r="DN56" s="4">
        <v>150000</v>
      </c>
      <c r="DS56" s="4">
        <v>150000</v>
      </c>
    </row>
    <row r="57" spans="1:127" ht="21.75">
      <c r="A57" s="9"/>
      <c r="B57" s="11" t="s">
        <v>102</v>
      </c>
      <c r="C57" s="57" t="s">
        <v>6</v>
      </c>
      <c r="D57" s="22">
        <f t="shared" si="0"/>
        <v>132.46</v>
      </c>
      <c r="E57" s="22">
        <f t="shared" si="1"/>
        <v>35.15</v>
      </c>
      <c r="F57" s="22">
        <f t="shared" si="2"/>
        <v>43.94</v>
      </c>
      <c r="G57" s="22">
        <f t="shared" si="3"/>
        <v>167.61</v>
      </c>
      <c r="H57" s="22">
        <f t="shared" si="4"/>
        <v>176.4</v>
      </c>
      <c r="J57" s="9"/>
      <c r="K57" s="11" t="s">
        <v>102</v>
      </c>
      <c r="L57" s="63" t="s">
        <v>6</v>
      </c>
      <c r="M57" s="1371"/>
      <c r="N57" s="1372"/>
      <c r="O57" s="1372"/>
      <c r="P57" s="1369"/>
      <c r="Q57" s="1370"/>
      <c r="R57" s="1392">
        <v>122.07</v>
      </c>
      <c r="S57" s="1393">
        <v>35.15</v>
      </c>
      <c r="T57" s="1393">
        <v>43.94</v>
      </c>
      <c r="U57" s="1390">
        <f t="shared" ref="U57:U63" si="7">R57+S57</f>
        <v>157.22</v>
      </c>
      <c r="V57" s="1391">
        <f t="shared" ref="V57:V63" si="8">R57+T57</f>
        <v>166.01</v>
      </c>
      <c r="W57" s="561">
        <v>125.53</v>
      </c>
      <c r="X57" s="562">
        <v>35.15</v>
      </c>
      <c r="Y57" s="562">
        <v>43.94</v>
      </c>
      <c r="Z57" s="559">
        <v>160.68</v>
      </c>
      <c r="AA57" s="560">
        <v>169.47</v>
      </c>
      <c r="AB57" s="561">
        <v>129</v>
      </c>
      <c r="AC57" s="562">
        <v>35.15</v>
      </c>
      <c r="AD57" s="562">
        <v>43.94</v>
      </c>
      <c r="AE57" s="559">
        <v>164.15</v>
      </c>
      <c r="AF57" s="560">
        <v>172.94</v>
      </c>
      <c r="AG57" s="561">
        <v>132.46</v>
      </c>
      <c r="AH57" s="562">
        <v>35.15</v>
      </c>
      <c r="AI57" s="562">
        <v>43.94</v>
      </c>
      <c r="AJ57" s="559">
        <v>167.61</v>
      </c>
      <c r="AK57" s="560">
        <v>176.4</v>
      </c>
      <c r="AL57" s="561">
        <v>135.93</v>
      </c>
      <c r="AM57" s="562">
        <v>35.15</v>
      </c>
      <c r="AN57" s="562">
        <v>43.94</v>
      </c>
      <c r="AO57" s="559">
        <v>171.08</v>
      </c>
      <c r="AP57" s="560">
        <v>179.87</v>
      </c>
      <c r="AQ57" s="561">
        <v>139.38999999999999</v>
      </c>
      <c r="AR57" s="562">
        <v>35.15</v>
      </c>
      <c r="AS57" s="562">
        <v>43.94</v>
      </c>
      <c r="AT57" s="559">
        <v>174.54</v>
      </c>
      <c r="AU57" s="560">
        <v>183.33</v>
      </c>
      <c r="AV57" s="561">
        <v>142.85</v>
      </c>
      <c r="AW57" s="562">
        <v>35.15</v>
      </c>
      <c r="AX57" s="562">
        <v>43.94</v>
      </c>
      <c r="AY57" s="559">
        <v>178</v>
      </c>
      <c r="AZ57" s="560">
        <v>186.79</v>
      </c>
      <c r="BA57" s="561">
        <v>146.32</v>
      </c>
      <c r="BB57" s="562">
        <v>35.15</v>
      </c>
      <c r="BC57" s="562">
        <v>43.94</v>
      </c>
      <c r="BD57" s="559">
        <v>181.47</v>
      </c>
      <c r="BE57" s="560">
        <v>190.26</v>
      </c>
      <c r="BF57" s="561">
        <v>149.78</v>
      </c>
      <c r="BG57" s="562">
        <v>35.15</v>
      </c>
      <c r="BH57" s="562">
        <v>43.94</v>
      </c>
      <c r="BI57" s="559">
        <v>184.93</v>
      </c>
      <c r="BJ57" s="560">
        <v>193.72</v>
      </c>
      <c r="BK57" s="561">
        <v>153.25</v>
      </c>
      <c r="BL57" s="562">
        <v>35.15</v>
      </c>
      <c r="BM57" s="562">
        <v>43.94</v>
      </c>
      <c r="BN57" s="559">
        <v>188.4</v>
      </c>
      <c r="BO57" s="560">
        <v>197.19</v>
      </c>
      <c r="BP57" s="561">
        <v>156.71</v>
      </c>
      <c r="BQ57" s="562">
        <v>35.15</v>
      </c>
      <c r="BR57" s="562">
        <v>43.94</v>
      </c>
      <c r="BS57" s="559">
        <v>191.86</v>
      </c>
      <c r="BT57" s="560">
        <v>200.65</v>
      </c>
      <c r="BU57" s="561">
        <v>160.18</v>
      </c>
      <c r="BV57" s="562">
        <v>35.15</v>
      </c>
      <c r="BW57" s="562">
        <v>43.94</v>
      </c>
      <c r="BX57" s="559">
        <v>195.33</v>
      </c>
      <c r="BY57" s="560">
        <v>204.12</v>
      </c>
      <c r="BZ57" s="561">
        <v>163.63999999999999</v>
      </c>
      <c r="CA57" s="562">
        <v>35.15</v>
      </c>
      <c r="CB57" s="562">
        <v>43.94</v>
      </c>
      <c r="CC57" s="559">
        <v>198.79</v>
      </c>
      <c r="CD57" s="560">
        <v>207.58</v>
      </c>
      <c r="CE57" s="561">
        <v>167.11</v>
      </c>
      <c r="CF57" s="562">
        <v>35.15</v>
      </c>
      <c r="CG57" s="562">
        <v>43.94</v>
      </c>
      <c r="CH57" s="559">
        <v>202.26</v>
      </c>
      <c r="CI57" s="560">
        <v>211.05</v>
      </c>
      <c r="CJ57" s="4">
        <v>170.57</v>
      </c>
      <c r="CK57" s="4">
        <v>35.15</v>
      </c>
      <c r="CL57" s="4">
        <v>43.94</v>
      </c>
      <c r="CM57" s="4">
        <v>205.72</v>
      </c>
      <c r="CN57" s="4">
        <v>214.51</v>
      </c>
      <c r="CO57" s="4">
        <v>174.04</v>
      </c>
      <c r="CP57" s="4">
        <v>35.15</v>
      </c>
      <c r="CQ57" s="4">
        <v>43.94</v>
      </c>
      <c r="CR57" s="4">
        <v>209.19</v>
      </c>
      <c r="CS57" s="4">
        <v>217.98</v>
      </c>
      <c r="CT57" s="4">
        <v>177.5</v>
      </c>
      <c r="CU57" s="4">
        <v>35.15</v>
      </c>
      <c r="CV57" s="4">
        <v>43.15</v>
      </c>
      <c r="CW57" s="4">
        <v>212.65</v>
      </c>
      <c r="CX57" s="4">
        <v>221.44</v>
      </c>
      <c r="CY57" s="4">
        <v>180.97</v>
      </c>
      <c r="CZ57" s="4">
        <v>35.15</v>
      </c>
      <c r="DA57" s="4">
        <v>43.94</v>
      </c>
      <c r="DB57" s="4">
        <v>216.12</v>
      </c>
      <c r="DC57" s="4">
        <v>224.91</v>
      </c>
      <c r="DD57" s="4">
        <v>184.43</v>
      </c>
      <c r="DE57" s="4">
        <v>35.15</v>
      </c>
      <c r="DF57" s="4">
        <v>43.94</v>
      </c>
      <c r="DG57" s="4">
        <v>219.58</v>
      </c>
      <c r="DH57" s="4">
        <v>228.37</v>
      </c>
      <c r="DI57" s="4">
        <v>187.9</v>
      </c>
      <c r="DJ57" s="4">
        <v>35.15</v>
      </c>
      <c r="DK57" s="4">
        <v>43.94</v>
      </c>
      <c r="DL57" s="4">
        <v>223.05</v>
      </c>
      <c r="DM57" s="4">
        <v>231.84</v>
      </c>
      <c r="DN57" s="4">
        <v>191.36</v>
      </c>
      <c r="DO57" s="4">
        <v>35.15</v>
      </c>
      <c r="DP57" s="4">
        <v>43.94</v>
      </c>
      <c r="DQ57" s="4">
        <v>226.51</v>
      </c>
      <c r="DR57" s="4">
        <v>235.3</v>
      </c>
      <c r="DS57" s="4">
        <v>194.83</v>
      </c>
      <c r="DT57" s="4">
        <v>35.15</v>
      </c>
      <c r="DU57" s="4">
        <v>43.94</v>
      </c>
      <c r="DV57" s="4">
        <v>229.98</v>
      </c>
      <c r="DW57" s="4">
        <v>238.77</v>
      </c>
    </row>
    <row r="58" spans="1:127" ht="21.75">
      <c r="A58" s="9"/>
      <c r="B58" s="11" t="s">
        <v>103</v>
      </c>
      <c r="C58" s="57" t="s">
        <v>104</v>
      </c>
      <c r="D58" s="22">
        <f t="shared" si="0"/>
        <v>10.68</v>
      </c>
      <c r="E58" s="22">
        <f t="shared" si="1"/>
        <v>1.74</v>
      </c>
      <c r="F58" s="22">
        <f t="shared" si="2"/>
        <v>2.1800000000000002</v>
      </c>
      <c r="G58" s="22">
        <f t="shared" si="3"/>
        <v>12.42</v>
      </c>
      <c r="H58" s="22">
        <f t="shared" si="4"/>
        <v>12.86</v>
      </c>
      <c r="J58" s="9"/>
      <c r="K58" s="11" t="s">
        <v>103</v>
      </c>
      <c r="L58" s="63" t="s">
        <v>104</v>
      </c>
      <c r="M58" s="1371"/>
      <c r="N58" s="1372"/>
      <c r="O58" s="1372"/>
      <c r="P58" s="1369"/>
      <c r="Q58" s="1370"/>
      <c r="R58" s="1392">
        <v>9.85</v>
      </c>
      <c r="S58" s="1393">
        <v>1.74</v>
      </c>
      <c r="T58" s="1393">
        <v>2.1800000000000002</v>
      </c>
      <c r="U58" s="1390">
        <f t="shared" si="7"/>
        <v>11.59</v>
      </c>
      <c r="V58" s="1391">
        <f t="shared" si="8"/>
        <v>12.03</v>
      </c>
      <c r="W58" s="561">
        <v>10.130000000000001</v>
      </c>
      <c r="X58" s="562">
        <v>1.74</v>
      </c>
      <c r="Y58" s="562">
        <v>2.1800000000000002</v>
      </c>
      <c r="Z58" s="559">
        <v>11.87</v>
      </c>
      <c r="AA58" s="560">
        <v>12.31</v>
      </c>
      <c r="AB58" s="561">
        <v>10.4</v>
      </c>
      <c r="AC58" s="562">
        <v>1.74</v>
      </c>
      <c r="AD58" s="562">
        <v>2.1800000000000002</v>
      </c>
      <c r="AE58" s="559">
        <v>12.14</v>
      </c>
      <c r="AF58" s="560">
        <v>12.58</v>
      </c>
      <c r="AG58" s="561">
        <v>10.68</v>
      </c>
      <c r="AH58" s="562">
        <v>1.74</v>
      </c>
      <c r="AI58" s="562">
        <v>2.1800000000000002</v>
      </c>
      <c r="AJ58" s="559">
        <v>12.42</v>
      </c>
      <c r="AK58" s="560">
        <v>12.86</v>
      </c>
      <c r="AL58" s="561">
        <v>10.96</v>
      </c>
      <c r="AM58" s="562">
        <v>1.74</v>
      </c>
      <c r="AN58" s="562">
        <v>2.1800000000000002</v>
      </c>
      <c r="AO58" s="559">
        <v>12.7</v>
      </c>
      <c r="AP58" s="560">
        <v>13.14</v>
      </c>
      <c r="AQ58" s="561">
        <v>11.23</v>
      </c>
      <c r="AR58" s="562">
        <v>1.74</v>
      </c>
      <c r="AS58" s="562">
        <v>2.1800000000000002</v>
      </c>
      <c r="AT58" s="559">
        <v>12.97</v>
      </c>
      <c r="AU58" s="560">
        <v>13.41</v>
      </c>
      <c r="AV58" s="561">
        <v>11.51</v>
      </c>
      <c r="AW58" s="562">
        <v>1.74</v>
      </c>
      <c r="AX58" s="562">
        <v>2.1800000000000002</v>
      </c>
      <c r="AY58" s="559">
        <v>13.25</v>
      </c>
      <c r="AZ58" s="560">
        <v>13.69</v>
      </c>
      <c r="BA58" s="561">
        <v>11.78</v>
      </c>
      <c r="BB58" s="562">
        <v>1.74</v>
      </c>
      <c r="BC58" s="562">
        <v>2.1800000000000002</v>
      </c>
      <c r="BD58" s="559">
        <v>13.52</v>
      </c>
      <c r="BE58" s="560">
        <v>13.96</v>
      </c>
      <c r="BF58" s="561">
        <v>12.06</v>
      </c>
      <c r="BG58" s="562">
        <v>1.74</v>
      </c>
      <c r="BH58" s="562">
        <v>2.1800000000000002</v>
      </c>
      <c r="BI58" s="559">
        <v>13.8</v>
      </c>
      <c r="BJ58" s="560">
        <v>14.24</v>
      </c>
      <c r="BK58" s="561">
        <v>12.34</v>
      </c>
      <c r="BL58" s="562">
        <v>1.74</v>
      </c>
      <c r="BM58" s="562">
        <v>2.1800000000000002</v>
      </c>
      <c r="BN58" s="559">
        <v>14.08</v>
      </c>
      <c r="BO58" s="560">
        <v>14.52</v>
      </c>
      <c r="BP58" s="561">
        <v>12.61</v>
      </c>
      <c r="BQ58" s="562">
        <v>1.74</v>
      </c>
      <c r="BR58" s="562">
        <v>2.1800000000000002</v>
      </c>
      <c r="BS58" s="559">
        <v>14.35</v>
      </c>
      <c r="BT58" s="560">
        <v>14.79</v>
      </c>
      <c r="BU58" s="561">
        <v>12.89</v>
      </c>
      <c r="BV58" s="562">
        <v>1.74</v>
      </c>
      <c r="BW58" s="562">
        <v>2.1800000000000002</v>
      </c>
      <c r="BX58" s="559">
        <v>14.63</v>
      </c>
      <c r="BY58" s="560">
        <v>15.07</v>
      </c>
      <c r="BZ58" s="561">
        <v>13.16</v>
      </c>
      <c r="CA58" s="562">
        <v>1.74</v>
      </c>
      <c r="CB58" s="562">
        <v>2.1800000000000002</v>
      </c>
      <c r="CC58" s="559">
        <v>14.9</v>
      </c>
      <c r="CD58" s="560">
        <v>15.34</v>
      </c>
      <c r="CE58" s="561">
        <v>13.44</v>
      </c>
      <c r="CF58" s="562">
        <v>1.74</v>
      </c>
      <c r="CG58" s="562">
        <v>2.1800000000000002</v>
      </c>
      <c r="CH58" s="559">
        <v>15.18</v>
      </c>
      <c r="CI58" s="560">
        <v>15.62</v>
      </c>
      <c r="CJ58" s="4">
        <v>13.72</v>
      </c>
      <c r="CK58" s="4">
        <v>1.74</v>
      </c>
      <c r="CL58" s="4">
        <v>2.1800000000000002</v>
      </c>
      <c r="CM58" s="4">
        <v>15.46</v>
      </c>
      <c r="CN58" s="4">
        <v>15.9</v>
      </c>
      <c r="CO58" s="4">
        <v>13.99</v>
      </c>
      <c r="CP58" s="4">
        <v>1.74</v>
      </c>
      <c r="CQ58" s="4">
        <v>2.1800000000000002</v>
      </c>
      <c r="CR58" s="4">
        <v>15.73</v>
      </c>
      <c r="CS58" s="4">
        <v>16.170000000000002</v>
      </c>
      <c r="CT58" s="4">
        <v>14.27</v>
      </c>
      <c r="CU58" s="4">
        <v>1.74</v>
      </c>
      <c r="CV58" s="4">
        <v>2.1800000000000002</v>
      </c>
      <c r="CW58" s="4">
        <v>16.010000000000002</v>
      </c>
      <c r="CX58" s="4">
        <v>16.45</v>
      </c>
      <c r="CY58" s="4">
        <v>14.54</v>
      </c>
      <c r="CZ58" s="4">
        <v>1.74</v>
      </c>
      <c r="DA58" s="4">
        <v>2.1800000000000002</v>
      </c>
      <c r="DB58" s="4">
        <v>16.28</v>
      </c>
      <c r="DC58" s="4">
        <v>16.72</v>
      </c>
      <c r="DD58" s="4">
        <v>14.82</v>
      </c>
      <c r="DE58" s="4">
        <v>1.74</v>
      </c>
      <c r="DF58" s="4">
        <v>2.1800000000000002</v>
      </c>
      <c r="DG58" s="4">
        <v>16.559999999999999</v>
      </c>
      <c r="DH58" s="4">
        <v>17</v>
      </c>
      <c r="DI58" s="4">
        <v>15.1</v>
      </c>
      <c r="DJ58" s="4">
        <v>1.74</v>
      </c>
      <c r="DK58" s="4">
        <v>2.1800000000000002</v>
      </c>
      <c r="DL58" s="4">
        <v>16.84</v>
      </c>
      <c r="DM58" s="4">
        <v>17.28</v>
      </c>
      <c r="DN58" s="4">
        <v>15.37</v>
      </c>
      <c r="DO58" s="4">
        <v>1.74</v>
      </c>
      <c r="DP58" s="4">
        <v>2.1800000000000002</v>
      </c>
      <c r="DQ58" s="4">
        <v>17.11</v>
      </c>
      <c r="DR58" s="4">
        <v>17.55</v>
      </c>
      <c r="DS58" s="4">
        <v>15.65</v>
      </c>
      <c r="DT58" s="4">
        <v>1.74</v>
      </c>
      <c r="DU58" s="4">
        <v>2.1800000000000002</v>
      </c>
      <c r="DV58" s="4">
        <v>17.39</v>
      </c>
      <c r="DW58" s="4">
        <v>17.829999999999998</v>
      </c>
    </row>
    <row r="59" spans="1:127" ht="21.75">
      <c r="A59" s="9"/>
      <c r="B59" s="11" t="s">
        <v>105</v>
      </c>
      <c r="C59" s="57" t="s">
        <v>17</v>
      </c>
      <c r="D59" s="22">
        <f t="shared" si="0"/>
        <v>15.26</v>
      </c>
      <c r="E59" s="22">
        <f t="shared" si="1"/>
        <v>5.34</v>
      </c>
      <c r="F59" s="22">
        <f t="shared" si="2"/>
        <v>6.68</v>
      </c>
      <c r="G59" s="22">
        <f t="shared" si="3"/>
        <v>20.6</v>
      </c>
      <c r="H59" s="22">
        <f t="shared" si="4"/>
        <v>21.94</v>
      </c>
      <c r="J59" s="9"/>
      <c r="K59" s="11" t="s">
        <v>105</v>
      </c>
      <c r="L59" s="63" t="s">
        <v>17</v>
      </c>
      <c r="M59" s="1371"/>
      <c r="N59" s="1372"/>
      <c r="O59" s="1372"/>
      <c r="P59" s="1369"/>
      <c r="Q59" s="1370"/>
      <c r="R59" s="1392">
        <v>15.26</v>
      </c>
      <c r="S59" s="1393">
        <v>5.34</v>
      </c>
      <c r="T59" s="1393">
        <v>6.68</v>
      </c>
      <c r="U59" s="1390">
        <f t="shared" si="7"/>
        <v>20.6</v>
      </c>
      <c r="V59" s="1391">
        <f t="shared" si="8"/>
        <v>21.939999999999998</v>
      </c>
      <c r="W59" s="561">
        <v>15.26</v>
      </c>
      <c r="X59" s="562">
        <v>5.34</v>
      </c>
      <c r="Y59" s="562">
        <v>6.68</v>
      </c>
      <c r="Z59" s="559">
        <v>20.6</v>
      </c>
      <c r="AA59" s="560">
        <v>21.94</v>
      </c>
      <c r="AB59" s="561">
        <v>15.26</v>
      </c>
      <c r="AC59" s="562">
        <v>5.34</v>
      </c>
      <c r="AD59" s="562">
        <v>6.68</v>
      </c>
      <c r="AE59" s="559">
        <v>20.6</v>
      </c>
      <c r="AF59" s="560">
        <v>21.94</v>
      </c>
      <c r="AG59" s="561">
        <v>15.26</v>
      </c>
      <c r="AH59" s="562">
        <v>5.34</v>
      </c>
      <c r="AI59" s="562">
        <v>6.68</v>
      </c>
      <c r="AJ59" s="559">
        <v>20.6</v>
      </c>
      <c r="AK59" s="560">
        <v>21.94</v>
      </c>
      <c r="AL59" s="561">
        <v>15.26</v>
      </c>
      <c r="AM59" s="562">
        <v>5.34</v>
      </c>
      <c r="AN59" s="562">
        <v>6.68</v>
      </c>
      <c r="AO59" s="559">
        <v>20.6</v>
      </c>
      <c r="AP59" s="560">
        <v>21.94</v>
      </c>
      <c r="AQ59" s="561">
        <v>15.26</v>
      </c>
      <c r="AR59" s="562">
        <v>5.34</v>
      </c>
      <c r="AS59" s="562">
        <v>6.68</v>
      </c>
      <c r="AT59" s="559">
        <v>20.6</v>
      </c>
      <c r="AU59" s="560">
        <v>21.94</v>
      </c>
      <c r="AV59" s="561">
        <v>15.26</v>
      </c>
      <c r="AW59" s="562">
        <v>5.34</v>
      </c>
      <c r="AX59" s="562">
        <v>6.68</v>
      </c>
      <c r="AY59" s="559">
        <v>20.6</v>
      </c>
      <c r="AZ59" s="560">
        <v>21.94</v>
      </c>
      <c r="BA59" s="561">
        <v>15.26</v>
      </c>
      <c r="BB59" s="562">
        <v>5.34</v>
      </c>
      <c r="BC59" s="562">
        <v>6.68</v>
      </c>
      <c r="BD59" s="559">
        <v>20.6</v>
      </c>
      <c r="BE59" s="560">
        <v>21.94</v>
      </c>
      <c r="BF59" s="561">
        <v>15.26</v>
      </c>
      <c r="BG59" s="562">
        <v>5.34</v>
      </c>
      <c r="BH59" s="562">
        <v>6.68</v>
      </c>
      <c r="BI59" s="559">
        <v>20.6</v>
      </c>
      <c r="BJ59" s="560">
        <v>21.94</v>
      </c>
      <c r="BK59" s="561">
        <v>15.26</v>
      </c>
      <c r="BL59" s="562">
        <v>5.34</v>
      </c>
      <c r="BM59" s="562">
        <v>6.68</v>
      </c>
      <c r="BN59" s="559">
        <v>20.6</v>
      </c>
      <c r="BO59" s="560">
        <v>21.94</v>
      </c>
      <c r="BP59" s="561">
        <v>15.26</v>
      </c>
      <c r="BQ59" s="562">
        <v>5.34</v>
      </c>
      <c r="BR59" s="562">
        <v>6.68</v>
      </c>
      <c r="BS59" s="559">
        <v>20.6</v>
      </c>
      <c r="BT59" s="560">
        <v>21.94</v>
      </c>
      <c r="BU59" s="561">
        <v>15.26</v>
      </c>
      <c r="BV59" s="562">
        <v>5.34</v>
      </c>
      <c r="BW59" s="562">
        <v>6.68</v>
      </c>
      <c r="BX59" s="559">
        <v>20.6</v>
      </c>
      <c r="BY59" s="560">
        <v>21.94</v>
      </c>
      <c r="BZ59" s="561">
        <v>15.26</v>
      </c>
      <c r="CA59" s="562">
        <v>5.34</v>
      </c>
      <c r="CB59" s="562">
        <v>6.68</v>
      </c>
      <c r="CC59" s="559">
        <v>20.6</v>
      </c>
      <c r="CD59" s="560">
        <v>21.94</v>
      </c>
      <c r="CE59" s="561">
        <v>15.26</v>
      </c>
      <c r="CF59" s="562">
        <v>5.34</v>
      </c>
      <c r="CG59" s="562">
        <v>6.68</v>
      </c>
      <c r="CH59" s="559">
        <v>20.6</v>
      </c>
      <c r="CI59" s="560">
        <v>21.94</v>
      </c>
      <c r="CJ59" s="4">
        <v>15.26</v>
      </c>
      <c r="CK59" s="4">
        <v>5.34</v>
      </c>
      <c r="CL59" s="4">
        <v>6.68</v>
      </c>
      <c r="CM59" s="4">
        <v>20.6</v>
      </c>
      <c r="CN59" s="4">
        <v>21.94</v>
      </c>
      <c r="CO59" s="4">
        <v>15.26</v>
      </c>
      <c r="CP59" s="4">
        <v>5.34</v>
      </c>
      <c r="CQ59" s="4">
        <v>6.68</v>
      </c>
      <c r="CR59" s="4">
        <v>20.6</v>
      </c>
      <c r="CS59" s="4">
        <v>21.94</v>
      </c>
      <c r="CT59" s="4">
        <v>15.26</v>
      </c>
      <c r="CU59" s="4">
        <v>5.34</v>
      </c>
      <c r="CV59" s="4">
        <v>6.68</v>
      </c>
      <c r="CW59" s="4">
        <v>20.6</v>
      </c>
      <c r="CX59" s="4">
        <v>21.94</v>
      </c>
      <c r="CY59" s="4">
        <v>15.26</v>
      </c>
      <c r="CZ59" s="4">
        <v>5.34</v>
      </c>
      <c r="DA59" s="4">
        <v>6.68</v>
      </c>
      <c r="DB59" s="4">
        <v>20.6</v>
      </c>
      <c r="DC59" s="4">
        <v>21.94</v>
      </c>
      <c r="DD59" s="4">
        <v>15.26</v>
      </c>
      <c r="DE59" s="4">
        <v>5.34</v>
      </c>
      <c r="DF59" s="4">
        <v>6.68</v>
      </c>
      <c r="DG59" s="4">
        <v>20.6</v>
      </c>
      <c r="DH59" s="4">
        <v>21.94</v>
      </c>
      <c r="DI59" s="4">
        <v>15.26</v>
      </c>
      <c r="DJ59" s="4">
        <v>5.34</v>
      </c>
      <c r="DK59" s="4">
        <v>6.68</v>
      </c>
      <c r="DL59" s="4">
        <v>20.6</v>
      </c>
      <c r="DM59" s="4">
        <v>21.94</v>
      </c>
      <c r="DN59" s="4">
        <v>15.26</v>
      </c>
      <c r="DO59" s="4">
        <v>5.34</v>
      </c>
      <c r="DP59" s="4">
        <v>6.68</v>
      </c>
      <c r="DQ59" s="4">
        <v>20.6</v>
      </c>
      <c r="DR59" s="4">
        <v>21.94</v>
      </c>
      <c r="DS59" s="4">
        <v>15.26</v>
      </c>
      <c r="DT59" s="4">
        <v>5.34</v>
      </c>
      <c r="DU59" s="4">
        <v>6.68</v>
      </c>
      <c r="DV59" s="4">
        <v>20.6</v>
      </c>
      <c r="DW59" s="4">
        <v>21.94</v>
      </c>
    </row>
    <row r="60" spans="1:127" ht="21.75">
      <c r="A60" s="9"/>
      <c r="B60" s="11" t="s">
        <v>106</v>
      </c>
      <c r="C60" s="57" t="s">
        <v>7</v>
      </c>
      <c r="D60" s="22">
        <f t="shared" si="0"/>
        <v>9.82</v>
      </c>
      <c r="E60" s="22">
        <f t="shared" si="1"/>
        <v>1.92</v>
      </c>
      <c r="F60" s="22">
        <f t="shared" si="2"/>
        <v>2.4</v>
      </c>
      <c r="G60" s="22">
        <f t="shared" si="3"/>
        <v>11.74</v>
      </c>
      <c r="H60" s="22">
        <f t="shared" si="4"/>
        <v>12.22</v>
      </c>
      <c r="J60" s="9"/>
      <c r="K60" s="11" t="s">
        <v>106</v>
      </c>
      <c r="L60" s="63" t="s">
        <v>7</v>
      </c>
      <c r="M60" s="1371"/>
      <c r="N60" s="1372"/>
      <c r="O60" s="1372"/>
      <c r="P60" s="1369"/>
      <c r="Q60" s="1370"/>
      <c r="R60" s="1392">
        <v>9.67</v>
      </c>
      <c r="S60" s="1393">
        <v>1.92</v>
      </c>
      <c r="T60" s="1393">
        <v>2.4</v>
      </c>
      <c r="U60" s="1390">
        <f t="shared" si="7"/>
        <v>11.59</v>
      </c>
      <c r="V60" s="1391">
        <f t="shared" si="8"/>
        <v>12.07</v>
      </c>
      <c r="W60" s="561">
        <v>9.7200000000000006</v>
      </c>
      <c r="X60" s="562">
        <v>1.92</v>
      </c>
      <c r="Y60" s="562">
        <v>2.4</v>
      </c>
      <c r="Z60" s="559">
        <v>11.64</v>
      </c>
      <c r="AA60" s="560">
        <v>12.12</v>
      </c>
      <c r="AB60" s="561">
        <v>9.77</v>
      </c>
      <c r="AC60" s="562">
        <v>1.92</v>
      </c>
      <c r="AD60" s="562">
        <v>2.4</v>
      </c>
      <c r="AE60" s="559">
        <v>11.69</v>
      </c>
      <c r="AF60" s="560">
        <v>12.17</v>
      </c>
      <c r="AG60" s="561">
        <v>9.82</v>
      </c>
      <c r="AH60" s="562">
        <v>1.92</v>
      </c>
      <c r="AI60" s="562">
        <v>2.4</v>
      </c>
      <c r="AJ60" s="559">
        <v>11.74</v>
      </c>
      <c r="AK60" s="560">
        <v>12.22</v>
      </c>
      <c r="AL60" s="561">
        <v>9.86</v>
      </c>
      <c r="AM60" s="562">
        <v>1.92</v>
      </c>
      <c r="AN60" s="562">
        <v>2.4</v>
      </c>
      <c r="AO60" s="559">
        <v>11.78</v>
      </c>
      <c r="AP60" s="560">
        <v>12.26</v>
      </c>
      <c r="AQ60" s="561">
        <v>9.91</v>
      </c>
      <c r="AR60" s="562">
        <v>1.92</v>
      </c>
      <c r="AS60" s="562">
        <v>2.4</v>
      </c>
      <c r="AT60" s="559">
        <v>11.83</v>
      </c>
      <c r="AU60" s="560">
        <v>12.31</v>
      </c>
      <c r="AV60" s="561">
        <v>9.9600000000000009</v>
      </c>
      <c r="AW60" s="562">
        <v>1.92</v>
      </c>
      <c r="AX60" s="562">
        <v>2.4</v>
      </c>
      <c r="AY60" s="559">
        <v>11.88</v>
      </c>
      <c r="AZ60" s="560">
        <v>12.36</v>
      </c>
      <c r="BA60" s="561">
        <v>10.01</v>
      </c>
      <c r="BB60" s="562">
        <v>1.92</v>
      </c>
      <c r="BC60" s="562">
        <v>2.4</v>
      </c>
      <c r="BD60" s="559">
        <v>11.93</v>
      </c>
      <c r="BE60" s="560">
        <v>12.41</v>
      </c>
      <c r="BF60" s="561">
        <v>10.06</v>
      </c>
      <c r="BG60" s="562">
        <v>1.92</v>
      </c>
      <c r="BH60" s="562">
        <v>2.4</v>
      </c>
      <c r="BI60" s="559">
        <v>11.98</v>
      </c>
      <c r="BJ60" s="560">
        <v>12.46</v>
      </c>
      <c r="BK60" s="561">
        <v>10.1</v>
      </c>
      <c r="BL60" s="562">
        <v>1.92</v>
      </c>
      <c r="BM60" s="562">
        <v>2.4</v>
      </c>
      <c r="BN60" s="559">
        <v>12.02</v>
      </c>
      <c r="BO60" s="560">
        <v>12.5</v>
      </c>
      <c r="BP60" s="561">
        <v>10.15</v>
      </c>
      <c r="BQ60" s="562">
        <v>1.92</v>
      </c>
      <c r="BR60" s="562">
        <v>2.4</v>
      </c>
      <c r="BS60" s="559">
        <v>12.07</v>
      </c>
      <c r="BT60" s="560">
        <v>12.55</v>
      </c>
      <c r="BU60" s="561">
        <v>10.199999999999999</v>
      </c>
      <c r="BV60" s="562">
        <v>1.92</v>
      </c>
      <c r="BW60" s="562">
        <v>2.4</v>
      </c>
      <c r="BX60" s="559">
        <v>12.12</v>
      </c>
      <c r="BY60" s="560">
        <v>12.6</v>
      </c>
      <c r="BZ60" s="561">
        <v>10.25</v>
      </c>
      <c r="CA60" s="562">
        <v>1.92</v>
      </c>
      <c r="CB60" s="562">
        <v>2.4</v>
      </c>
      <c r="CC60" s="559">
        <v>12.17</v>
      </c>
      <c r="CD60" s="560">
        <v>12.65</v>
      </c>
      <c r="CE60" s="561">
        <v>10.29</v>
      </c>
      <c r="CF60" s="562">
        <v>1.92</v>
      </c>
      <c r="CG60" s="562">
        <v>2.4</v>
      </c>
      <c r="CH60" s="559">
        <v>12.21</v>
      </c>
      <c r="CI60" s="560">
        <v>12.69</v>
      </c>
      <c r="CJ60" s="4">
        <v>10.34</v>
      </c>
      <c r="CK60" s="4">
        <v>1.92</v>
      </c>
      <c r="CL60" s="4">
        <v>2.4</v>
      </c>
      <c r="CM60" s="4">
        <v>12.26</v>
      </c>
      <c r="CN60" s="4">
        <v>12.74</v>
      </c>
      <c r="CO60" s="4">
        <v>10.39</v>
      </c>
      <c r="CP60" s="4">
        <v>1.92</v>
      </c>
      <c r="CQ60" s="4">
        <v>2.4</v>
      </c>
      <c r="CR60" s="4">
        <v>12.31</v>
      </c>
      <c r="CS60" s="4">
        <v>12.79</v>
      </c>
      <c r="CT60" s="4">
        <v>10.44</v>
      </c>
      <c r="CU60" s="4">
        <v>1.92</v>
      </c>
      <c r="CV60" s="4">
        <v>2.4</v>
      </c>
      <c r="CW60" s="4">
        <v>12.36</v>
      </c>
      <c r="CX60" s="4">
        <v>12.84</v>
      </c>
      <c r="CY60" s="4">
        <v>10.49</v>
      </c>
      <c r="CZ60" s="4">
        <v>1.92</v>
      </c>
      <c r="DA60" s="4">
        <v>2.4</v>
      </c>
      <c r="DB60" s="4">
        <v>12.41</v>
      </c>
      <c r="DC60" s="4">
        <v>12.89</v>
      </c>
      <c r="DD60" s="4">
        <v>10.53</v>
      </c>
      <c r="DE60" s="4">
        <v>1.92</v>
      </c>
      <c r="DF60" s="4">
        <v>2.4</v>
      </c>
      <c r="DG60" s="4">
        <v>12.45</v>
      </c>
      <c r="DH60" s="4">
        <v>12.93</v>
      </c>
      <c r="DI60" s="4">
        <v>10.58</v>
      </c>
      <c r="DJ60" s="4">
        <v>1.92</v>
      </c>
      <c r="DK60" s="4">
        <v>2.4</v>
      </c>
      <c r="DL60" s="4">
        <v>12.5</v>
      </c>
      <c r="DM60" s="4">
        <v>12.98</v>
      </c>
      <c r="DN60" s="4">
        <v>10.63</v>
      </c>
      <c r="DO60" s="4">
        <v>1.92</v>
      </c>
      <c r="DP60" s="4">
        <v>2.4</v>
      </c>
      <c r="DQ60" s="4">
        <v>12.55</v>
      </c>
      <c r="DR60" s="4">
        <v>13.03</v>
      </c>
      <c r="DS60" s="4">
        <v>10.68</v>
      </c>
      <c r="DT60" s="4">
        <v>1.92</v>
      </c>
      <c r="DU60" s="4">
        <v>2.4</v>
      </c>
      <c r="DV60" s="4">
        <v>12.6</v>
      </c>
      <c r="DW60" s="4">
        <v>13.08</v>
      </c>
    </row>
    <row r="61" spans="1:127" ht="21.75">
      <c r="A61" s="9"/>
      <c r="B61" s="11" t="s">
        <v>742</v>
      </c>
      <c r="C61" s="57" t="s">
        <v>17</v>
      </c>
      <c r="D61" s="22">
        <f t="shared" si="0"/>
        <v>18.899999999999999</v>
      </c>
      <c r="E61" s="22">
        <f t="shared" si="1"/>
        <v>2.5299999999999998</v>
      </c>
      <c r="F61" s="22">
        <f t="shared" si="2"/>
        <v>3.16</v>
      </c>
      <c r="G61" s="22">
        <f t="shared" si="3"/>
        <v>21.43</v>
      </c>
      <c r="H61" s="22">
        <f t="shared" si="4"/>
        <v>22.06</v>
      </c>
      <c r="J61" s="9"/>
      <c r="K61" s="11" t="s">
        <v>742</v>
      </c>
      <c r="L61" s="63" t="s">
        <v>17</v>
      </c>
      <c r="M61" s="1371"/>
      <c r="N61" s="1372"/>
      <c r="O61" s="1372"/>
      <c r="P61" s="1369"/>
      <c r="Q61" s="1370"/>
      <c r="R61" s="1392">
        <v>18.170000000000002</v>
      </c>
      <c r="S61" s="1393">
        <v>2.5299999999999998</v>
      </c>
      <c r="T61" s="1393">
        <v>3.16</v>
      </c>
      <c r="U61" s="1390">
        <f t="shared" si="7"/>
        <v>20.700000000000003</v>
      </c>
      <c r="V61" s="1391">
        <f t="shared" si="8"/>
        <v>21.330000000000002</v>
      </c>
      <c r="W61" s="561">
        <v>18.41</v>
      </c>
      <c r="X61" s="562">
        <v>2.5299999999999998</v>
      </c>
      <c r="Y61" s="562">
        <v>3.16</v>
      </c>
      <c r="Z61" s="559">
        <v>20.94</v>
      </c>
      <c r="AA61" s="560">
        <v>21.57</v>
      </c>
      <c r="AB61" s="561">
        <v>18.66</v>
      </c>
      <c r="AC61" s="562">
        <v>2.5299999999999998</v>
      </c>
      <c r="AD61" s="562">
        <v>3.16</v>
      </c>
      <c r="AE61" s="559">
        <v>21.19</v>
      </c>
      <c r="AF61" s="560">
        <v>21.82</v>
      </c>
      <c r="AG61" s="561">
        <v>18.899999999999999</v>
      </c>
      <c r="AH61" s="562">
        <v>2.5299999999999998</v>
      </c>
      <c r="AI61" s="562">
        <v>3.16</v>
      </c>
      <c r="AJ61" s="559">
        <v>21.43</v>
      </c>
      <c r="AK61" s="560">
        <v>22.06</v>
      </c>
      <c r="AL61" s="561">
        <v>19.149999999999999</v>
      </c>
      <c r="AM61" s="562">
        <v>2.5299999999999998</v>
      </c>
      <c r="AN61" s="562">
        <v>3.16</v>
      </c>
      <c r="AO61" s="559">
        <v>21.68</v>
      </c>
      <c r="AP61" s="560">
        <v>22.31</v>
      </c>
      <c r="AQ61" s="561">
        <v>19.39</v>
      </c>
      <c r="AR61" s="562">
        <v>2.5299999999999998</v>
      </c>
      <c r="AS61" s="562">
        <v>3.16</v>
      </c>
      <c r="AT61" s="559">
        <v>21.92</v>
      </c>
      <c r="AU61" s="560">
        <v>22.55</v>
      </c>
      <c r="AV61" s="561">
        <v>19.63</v>
      </c>
      <c r="AW61" s="562">
        <v>2.5299999999999998</v>
      </c>
      <c r="AX61" s="562">
        <v>3.16</v>
      </c>
      <c r="AY61" s="559">
        <v>22.16</v>
      </c>
      <c r="AZ61" s="560">
        <v>22.79</v>
      </c>
      <c r="BA61" s="561">
        <v>19.88</v>
      </c>
      <c r="BB61" s="562">
        <v>2.5299999999999998</v>
      </c>
      <c r="BC61" s="562">
        <v>3.16</v>
      </c>
      <c r="BD61" s="559">
        <v>22.41</v>
      </c>
      <c r="BE61" s="560">
        <v>23.04</v>
      </c>
      <c r="BF61" s="561">
        <v>20.12</v>
      </c>
      <c r="BG61" s="562">
        <v>2.5299999999999998</v>
      </c>
      <c r="BH61" s="562">
        <v>3.16</v>
      </c>
      <c r="BI61" s="559">
        <v>22.65</v>
      </c>
      <c r="BJ61" s="560">
        <v>23.28</v>
      </c>
      <c r="BK61" s="561">
        <v>20.37</v>
      </c>
      <c r="BL61" s="562">
        <v>2.5299999999999998</v>
      </c>
      <c r="BM61" s="562">
        <v>3.16</v>
      </c>
      <c r="BN61" s="559">
        <v>22.9</v>
      </c>
      <c r="BO61" s="560">
        <v>23.53</v>
      </c>
      <c r="BP61" s="561">
        <v>20.61</v>
      </c>
      <c r="BQ61" s="562">
        <v>2.5299999999999998</v>
      </c>
      <c r="BR61" s="562">
        <v>3.16</v>
      </c>
      <c r="BS61" s="559">
        <v>23.14</v>
      </c>
      <c r="BT61" s="560">
        <v>23.77</v>
      </c>
      <c r="BU61" s="561">
        <v>20.86</v>
      </c>
      <c r="BV61" s="562">
        <v>2.5299999999999998</v>
      </c>
      <c r="BW61" s="562">
        <v>3.16</v>
      </c>
      <c r="BX61" s="559">
        <v>23.39</v>
      </c>
      <c r="BY61" s="560">
        <v>24.02</v>
      </c>
      <c r="BZ61" s="561">
        <v>21.1</v>
      </c>
      <c r="CA61" s="562">
        <v>2.5299999999999998</v>
      </c>
      <c r="CB61" s="562">
        <v>3.16</v>
      </c>
      <c r="CC61" s="559">
        <v>23.63</v>
      </c>
      <c r="CD61" s="560">
        <v>24.26</v>
      </c>
      <c r="CE61" s="561">
        <v>21.34</v>
      </c>
      <c r="CF61" s="562">
        <v>2.5299999999999998</v>
      </c>
      <c r="CG61" s="562">
        <v>3.16</v>
      </c>
      <c r="CH61" s="559">
        <v>23.87</v>
      </c>
      <c r="CI61" s="560">
        <v>24.5</v>
      </c>
      <c r="CJ61" s="4">
        <v>21.59</v>
      </c>
      <c r="CK61" s="4">
        <v>2.5299999999999998</v>
      </c>
      <c r="CL61" s="4">
        <v>3.16</v>
      </c>
      <c r="CM61" s="4">
        <v>24.12</v>
      </c>
      <c r="CN61" s="4">
        <v>24.75</v>
      </c>
      <c r="CO61" s="4">
        <v>21.83</v>
      </c>
      <c r="CP61" s="4">
        <v>2.5299999999999998</v>
      </c>
      <c r="CQ61" s="4">
        <v>3.16</v>
      </c>
      <c r="CR61" s="4">
        <v>24.36</v>
      </c>
      <c r="CS61" s="4">
        <v>24.99</v>
      </c>
      <c r="CT61" s="4">
        <v>22.08</v>
      </c>
      <c r="CU61" s="4">
        <v>2.5299999999999998</v>
      </c>
      <c r="CV61" s="4">
        <v>3.16</v>
      </c>
      <c r="CW61" s="4">
        <v>24.61</v>
      </c>
      <c r="CX61" s="4">
        <v>25.24</v>
      </c>
      <c r="CY61" s="4">
        <v>22.32</v>
      </c>
      <c r="CZ61" s="4">
        <v>2.5299999999999998</v>
      </c>
      <c r="DA61" s="4">
        <v>3.16</v>
      </c>
      <c r="DB61" s="4">
        <v>24.85</v>
      </c>
      <c r="DC61" s="4">
        <v>25.48</v>
      </c>
      <c r="DD61" s="4">
        <v>22.56</v>
      </c>
      <c r="DE61" s="4">
        <v>2.5299999999999998</v>
      </c>
      <c r="DF61" s="4">
        <v>3.16</v>
      </c>
      <c r="DG61" s="4">
        <v>25.09</v>
      </c>
      <c r="DH61" s="4">
        <v>25.72</v>
      </c>
      <c r="DI61" s="4">
        <v>22.81</v>
      </c>
      <c r="DJ61" s="4">
        <v>2.5299999999999998</v>
      </c>
      <c r="DK61" s="4">
        <v>3.16</v>
      </c>
      <c r="DL61" s="4">
        <v>25.34</v>
      </c>
      <c r="DM61" s="4">
        <v>25.97</v>
      </c>
      <c r="DN61" s="4">
        <v>23.05</v>
      </c>
      <c r="DO61" s="4">
        <v>2.5299999999999998</v>
      </c>
      <c r="DP61" s="4">
        <v>3.16</v>
      </c>
      <c r="DQ61" s="4">
        <v>25.58</v>
      </c>
      <c r="DR61" s="4">
        <v>26.21</v>
      </c>
      <c r="DS61" s="4">
        <v>23.3</v>
      </c>
      <c r="DT61" s="4">
        <v>2.5299999999999998</v>
      </c>
      <c r="DU61" s="4">
        <v>3.16</v>
      </c>
      <c r="DV61" s="4">
        <v>25.83</v>
      </c>
      <c r="DW61" s="4">
        <v>26.46</v>
      </c>
    </row>
    <row r="62" spans="1:127" ht="21.75">
      <c r="A62" s="9"/>
      <c r="B62" s="11" t="s">
        <v>741</v>
      </c>
      <c r="C62" s="57" t="s">
        <v>17</v>
      </c>
      <c r="D62" s="22">
        <f t="shared" si="0"/>
        <v>10.36</v>
      </c>
      <c r="E62" s="22">
        <f t="shared" si="1"/>
        <v>2.39</v>
      </c>
      <c r="F62" s="22">
        <f t="shared" si="2"/>
        <v>2.99</v>
      </c>
      <c r="G62" s="22">
        <f t="shared" si="3"/>
        <v>12.75</v>
      </c>
      <c r="H62" s="22">
        <f t="shared" si="4"/>
        <v>13.35</v>
      </c>
      <c r="J62" s="9"/>
      <c r="K62" s="11" t="s">
        <v>741</v>
      </c>
      <c r="L62" s="63" t="s">
        <v>17</v>
      </c>
      <c r="M62" s="1371"/>
      <c r="N62" s="1372"/>
      <c r="O62" s="1372"/>
      <c r="P62" s="1369"/>
      <c r="Q62" s="1370"/>
      <c r="R62" s="1392">
        <v>9.69</v>
      </c>
      <c r="S62" s="1393">
        <v>2.39</v>
      </c>
      <c r="T62" s="1393">
        <v>2.99</v>
      </c>
      <c r="U62" s="1390">
        <f t="shared" si="7"/>
        <v>12.08</v>
      </c>
      <c r="V62" s="1391">
        <f t="shared" si="8"/>
        <v>12.68</v>
      </c>
      <c r="W62" s="561">
        <v>9.92</v>
      </c>
      <c r="X62" s="562">
        <v>2.39</v>
      </c>
      <c r="Y62" s="562">
        <v>2.99</v>
      </c>
      <c r="Z62" s="559">
        <v>12.31</v>
      </c>
      <c r="AA62" s="560">
        <v>12.91</v>
      </c>
      <c r="AB62" s="561">
        <v>10.14</v>
      </c>
      <c r="AC62" s="562">
        <v>2.39</v>
      </c>
      <c r="AD62" s="562">
        <v>2.99</v>
      </c>
      <c r="AE62" s="559">
        <v>12.53</v>
      </c>
      <c r="AF62" s="560">
        <v>13.13</v>
      </c>
      <c r="AG62" s="561">
        <v>10.36</v>
      </c>
      <c r="AH62" s="562">
        <v>2.39</v>
      </c>
      <c r="AI62" s="562">
        <v>2.99</v>
      </c>
      <c r="AJ62" s="559">
        <v>12.75</v>
      </c>
      <c r="AK62" s="560">
        <v>13.35</v>
      </c>
      <c r="AL62" s="561">
        <v>10.59</v>
      </c>
      <c r="AM62" s="562">
        <v>2.39</v>
      </c>
      <c r="AN62" s="562">
        <v>2.99</v>
      </c>
      <c r="AO62" s="559">
        <v>12.98</v>
      </c>
      <c r="AP62" s="560">
        <v>13.58</v>
      </c>
      <c r="AQ62" s="561">
        <v>10.81</v>
      </c>
      <c r="AR62" s="562">
        <v>2.39</v>
      </c>
      <c r="AS62" s="562">
        <v>2.99</v>
      </c>
      <c r="AT62" s="559">
        <v>13.2</v>
      </c>
      <c r="AU62" s="560">
        <v>13.8</v>
      </c>
      <c r="AV62" s="561">
        <v>11.04</v>
      </c>
      <c r="AW62" s="562">
        <v>2.39</v>
      </c>
      <c r="AX62" s="562">
        <v>2.99</v>
      </c>
      <c r="AY62" s="559">
        <v>13.43</v>
      </c>
      <c r="AZ62" s="560">
        <v>14.03</v>
      </c>
      <c r="BA62" s="561">
        <v>11.26</v>
      </c>
      <c r="BB62" s="562">
        <v>2.39</v>
      </c>
      <c r="BC62" s="562">
        <v>2.99</v>
      </c>
      <c r="BD62" s="559">
        <v>13.65</v>
      </c>
      <c r="BE62" s="560">
        <v>14.25</v>
      </c>
      <c r="BF62" s="561">
        <v>11.48</v>
      </c>
      <c r="BG62" s="562">
        <v>2.39</v>
      </c>
      <c r="BH62" s="562">
        <v>2.99</v>
      </c>
      <c r="BI62" s="559">
        <v>13.87</v>
      </c>
      <c r="BJ62" s="560">
        <v>14.47</v>
      </c>
      <c r="BK62" s="561">
        <v>11.71</v>
      </c>
      <c r="BL62" s="562">
        <v>2.39</v>
      </c>
      <c r="BM62" s="562">
        <v>2.99</v>
      </c>
      <c r="BN62" s="559">
        <v>14.1</v>
      </c>
      <c r="BO62" s="560">
        <v>14.7</v>
      </c>
      <c r="BP62" s="561">
        <v>11.93</v>
      </c>
      <c r="BQ62" s="562">
        <v>2.39</v>
      </c>
      <c r="BR62" s="562">
        <v>2.99</v>
      </c>
      <c r="BS62" s="559">
        <v>14.32</v>
      </c>
      <c r="BT62" s="560">
        <v>14.92</v>
      </c>
      <c r="BU62" s="561">
        <v>12.16</v>
      </c>
      <c r="BV62" s="562">
        <v>2.39</v>
      </c>
      <c r="BW62" s="562">
        <v>2.99</v>
      </c>
      <c r="BX62" s="559">
        <v>14.55</v>
      </c>
      <c r="BY62" s="560">
        <v>15.15</v>
      </c>
      <c r="BZ62" s="561">
        <v>12.38</v>
      </c>
      <c r="CA62" s="562">
        <v>2.39</v>
      </c>
      <c r="CB62" s="562">
        <v>2.99</v>
      </c>
      <c r="CC62" s="559">
        <v>14.77</v>
      </c>
      <c r="CD62" s="560">
        <v>15.37</v>
      </c>
      <c r="CE62" s="561">
        <v>12.6</v>
      </c>
      <c r="CF62" s="562">
        <v>2.39</v>
      </c>
      <c r="CG62" s="562">
        <v>2.99</v>
      </c>
      <c r="CH62" s="559">
        <v>14.99</v>
      </c>
      <c r="CI62" s="560">
        <v>15.59</v>
      </c>
      <c r="CJ62" s="4">
        <v>12.83</v>
      </c>
      <c r="CK62" s="4">
        <v>2.39</v>
      </c>
      <c r="CL62" s="4">
        <v>2.99</v>
      </c>
      <c r="CM62" s="4">
        <v>15.22</v>
      </c>
      <c r="CN62" s="4">
        <v>15.82</v>
      </c>
      <c r="CO62" s="4">
        <v>13.05</v>
      </c>
      <c r="CP62" s="4">
        <v>2.39</v>
      </c>
      <c r="CQ62" s="4">
        <v>2.99</v>
      </c>
      <c r="CR62" s="4">
        <v>15.44</v>
      </c>
      <c r="CS62" s="4">
        <v>16.04</v>
      </c>
      <c r="CT62" s="4">
        <v>13.28</v>
      </c>
      <c r="CU62" s="4">
        <v>2.39</v>
      </c>
      <c r="CV62" s="4">
        <v>2.99</v>
      </c>
      <c r="CW62" s="4">
        <v>15.67</v>
      </c>
      <c r="CX62" s="4">
        <v>16.27</v>
      </c>
      <c r="CY62" s="4">
        <v>13.5</v>
      </c>
      <c r="CZ62" s="4">
        <v>2.39</v>
      </c>
      <c r="DA62" s="4">
        <v>2.99</v>
      </c>
      <c r="DB62" s="4">
        <v>15.89</v>
      </c>
      <c r="DC62" s="4">
        <v>16.489999999999998</v>
      </c>
      <c r="DD62" s="4">
        <v>13.72</v>
      </c>
      <c r="DE62" s="4">
        <v>2.39</v>
      </c>
      <c r="DF62" s="4">
        <v>2.99</v>
      </c>
      <c r="DG62" s="4">
        <v>16.11</v>
      </c>
      <c r="DH62" s="4">
        <v>16.71</v>
      </c>
      <c r="DI62" s="4">
        <v>13.95</v>
      </c>
      <c r="DJ62" s="4">
        <v>2.39</v>
      </c>
      <c r="DK62" s="4">
        <v>2.99</v>
      </c>
      <c r="DL62" s="4">
        <v>16.34</v>
      </c>
      <c r="DM62" s="4">
        <v>16.940000000000001</v>
      </c>
      <c r="DN62" s="4">
        <v>14.17</v>
      </c>
      <c r="DO62" s="4">
        <v>2.39</v>
      </c>
      <c r="DP62" s="4">
        <v>2.99</v>
      </c>
      <c r="DQ62" s="4">
        <v>16.559999999999999</v>
      </c>
      <c r="DR62" s="4">
        <v>17.16</v>
      </c>
      <c r="DS62" s="4">
        <v>14.4</v>
      </c>
      <c r="DT62" s="4">
        <v>2.39</v>
      </c>
      <c r="DU62" s="4">
        <v>2.99</v>
      </c>
      <c r="DV62" s="4">
        <v>16.79</v>
      </c>
      <c r="DW62" s="4">
        <v>17.39</v>
      </c>
    </row>
    <row r="63" spans="1:127" ht="21.75">
      <c r="A63" s="9"/>
      <c r="B63" s="11" t="s">
        <v>107</v>
      </c>
      <c r="C63" s="57" t="s">
        <v>7</v>
      </c>
      <c r="D63" s="22">
        <f t="shared" si="0"/>
        <v>7.13</v>
      </c>
      <c r="E63" s="22">
        <f t="shared" si="1"/>
        <v>1.06</v>
      </c>
      <c r="F63" s="22">
        <f t="shared" si="2"/>
        <v>1.33</v>
      </c>
      <c r="G63" s="22">
        <f t="shared" si="3"/>
        <v>8.19</v>
      </c>
      <c r="H63" s="22">
        <f t="shared" si="4"/>
        <v>8.4600000000000009</v>
      </c>
      <c r="J63" s="9"/>
      <c r="K63" s="11" t="s">
        <v>107</v>
      </c>
      <c r="L63" s="63" t="s">
        <v>7</v>
      </c>
      <c r="M63" s="1371"/>
      <c r="N63" s="1372"/>
      <c r="O63" s="1372"/>
      <c r="P63" s="1369"/>
      <c r="Q63" s="1370"/>
      <c r="R63" s="1392">
        <v>6.73</v>
      </c>
      <c r="S63" s="1393">
        <v>1.06</v>
      </c>
      <c r="T63" s="1393">
        <v>1.33</v>
      </c>
      <c r="U63" s="1390">
        <f t="shared" si="7"/>
        <v>7.7900000000000009</v>
      </c>
      <c r="V63" s="1391">
        <f t="shared" si="8"/>
        <v>8.06</v>
      </c>
      <c r="W63" s="561">
        <v>6.86</v>
      </c>
      <c r="X63" s="562">
        <v>1.06</v>
      </c>
      <c r="Y63" s="562">
        <v>1.33</v>
      </c>
      <c r="Z63" s="559">
        <v>7.92</v>
      </c>
      <c r="AA63" s="560">
        <v>8.19</v>
      </c>
      <c r="AB63" s="561">
        <v>7</v>
      </c>
      <c r="AC63" s="562">
        <v>1.06</v>
      </c>
      <c r="AD63" s="562">
        <v>1.33</v>
      </c>
      <c r="AE63" s="559">
        <v>8.06</v>
      </c>
      <c r="AF63" s="560">
        <v>8.33</v>
      </c>
      <c r="AG63" s="561">
        <v>7.13</v>
      </c>
      <c r="AH63" s="562">
        <v>1.06</v>
      </c>
      <c r="AI63" s="562">
        <v>1.33</v>
      </c>
      <c r="AJ63" s="559">
        <v>8.19</v>
      </c>
      <c r="AK63" s="560">
        <v>8.4600000000000009</v>
      </c>
      <c r="AL63" s="561">
        <v>7.27</v>
      </c>
      <c r="AM63" s="562">
        <v>1.06</v>
      </c>
      <c r="AN63" s="562">
        <v>1.33</v>
      </c>
      <c r="AO63" s="559">
        <v>8.33</v>
      </c>
      <c r="AP63" s="560">
        <v>8.6</v>
      </c>
      <c r="AQ63" s="561">
        <v>7.4</v>
      </c>
      <c r="AR63" s="562">
        <v>1.06</v>
      </c>
      <c r="AS63" s="562">
        <v>1.33</v>
      </c>
      <c r="AT63" s="559">
        <v>8.4600000000000009</v>
      </c>
      <c r="AU63" s="560">
        <v>8.73</v>
      </c>
      <c r="AV63" s="561">
        <v>7.54</v>
      </c>
      <c r="AW63" s="562">
        <v>1.06</v>
      </c>
      <c r="AX63" s="562">
        <v>1.33</v>
      </c>
      <c r="AY63" s="559">
        <v>8.6</v>
      </c>
      <c r="AZ63" s="560">
        <v>8.8699999999999992</v>
      </c>
      <c r="BA63" s="561">
        <v>7.67</v>
      </c>
      <c r="BB63" s="562">
        <v>1.06</v>
      </c>
      <c r="BC63" s="562">
        <v>1.33</v>
      </c>
      <c r="BD63" s="559">
        <v>8.73</v>
      </c>
      <c r="BE63" s="560">
        <v>9</v>
      </c>
      <c r="BF63" s="561">
        <v>7.81</v>
      </c>
      <c r="BG63" s="562">
        <v>1.06</v>
      </c>
      <c r="BH63" s="562">
        <v>1.33</v>
      </c>
      <c r="BI63" s="559">
        <v>8.8699999999999992</v>
      </c>
      <c r="BJ63" s="560">
        <v>9.14</v>
      </c>
      <c r="BK63" s="561">
        <v>7.94</v>
      </c>
      <c r="BL63" s="562">
        <v>1.06</v>
      </c>
      <c r="BM63" s="562">
        <v>1.33</v>
      </c>
      <c r="BN63" s="559">
        <v>9</v>
      </c>
      <c r="BO63" s="560">
        <v>9.27</v>
      </c>
      <c r="BP63" s="561">
        <v>8.08</v>
      </c>
      <c r="BQ63" s="562">
        <v>1.06</v>
      </c>
      <c r="BR63" s="562">
        <v>1.33</v>
      </c>
      <c r="BS63" s="559">
        <v>9.14</v>
      </c>
      <c r="BT63" s="560">
        <v>9.41</v>
      </c>
      <c r="BU63" s="561">
        <v>8.2100000000000009</v>
      </c>
      <c r="BV63" s="562">
        <v>1.06</v>
      </c>
      <c r="BW63" s="562">
        <v>1.33</v>
      </c>
      <c r="BX63" s="559">
        <v>9.27</v>
      </c>
      <c r="BY63" s="560">
        <v>9.5399999999999991</v>
      </c>
      <c r="BZ63" s="561">
        <v>8.35</v>
      </c>
      <c r="CA63" s="562">
        <v>1.06</v>
      </c>
      <c r="CB63" s="562">
        <v>1.33</v>
      </c>
      <c r="CC63" s="559">
        <v>9.41</v>
      </c>
      <c r="CD63" s="560">
        <v>9.68</v>
      </c>
      <c r="CE63" s="561">
        <v>8.48</v>
      </c>
      <c r="CF63" s="562">
        <v>1.06</v>
      </c>
      <c r="CG63" s="562">
        <v>1.33</v>
      </c>
      <c r="CH63" s="559">
        <v>9.5399999999999991</v>
      </c>
      <c r="CI63" s="560">
        <v>9.81</v>
      </c>
      <c r="CJ63" s="4">
        <v>8.6199999999999992</v>
      </c>
      <c r="CK63" s="4">
        <v>1.06</v>
      </c>
      <c r="CL63" s="4">
        <v>1.33</v>
      </c>
      <c r="CM63" s="4">
        <v>9.68</v>
      </c>
      <c r="CN63" s="4">
        <v>9.9499999999999993</v>
      </c>
      <c r="CO63" s="4">
        <v>8.76</v>
      </c>
      <c r="CP63" s="4">
        <v>1.06</v>
      </c>
      <c r="CQ63" s="4">
        <v>1.33</v>
      </c>
      <c r="CR63" s="4">
        <v>9.82</v>
      </c>
      <c r="CS63" s="4">
        <v>10.09</v>
      </c>
      <c r="CT63" s="4">
        <v>8.89</v>
      </c>
      <c r="CU63" s="4">
        <v>1.06</v>
      </c>
      <c r="CV63" s="4">
        <v>1.33</v>
      </c>
      <c r="CW63" s="4">
        <v>9.9499999999999993</v>
      </c>
      <c r="CX63" s="4">
        <v>10.220000000000001</v>
      </c>
      <c r="CY63" s="4">
        <v>9.0299999999999994</v>
      </c>
      <c r="CZ63" s="4">
        <v>1.06</v>
      </c>
      <c r="DA63" s="4">
        <v>1.33</v>
      </c>
      <c r="DB63" s="4">
        <v>10.09</v>
      </c>
      <c r="DC63" s="4">
        <v>10.36</v>
      </c>
      <c r="DD63" s="4">
        <v>9.16</v>
      </c>
      <c r="DE63" s="4">
        <v>1.06</v>
      </c>
      <c r="DF63" s="4">
        <v>1.33</v>
      </c>
      <c r="DG63" s="4">
        <v>10.220000000000001</v>
      </c>
      <c r="DH63" s="4">
        <v>10.49</v>
      </c>
      <c r="DI63" s="4">
        <v>9.3000000000000007</v>
      </c>
      <c r="DJ63" s="4">
        <v>1.06</v>
      </c>
      <c r="DK63" s="4">
        <v>1.33</v>
      </c>
      <c r="DL63" s="4">
        <v>10.36</v>
      </c>
      <c r="DM63" s="4">
        <v>10.63</v>
      </c>
      <c r="DN63" s="4">
        <v>9.43</v>
      </c>
      <c r="DO63" s="4">
        <v>1.06</v>
      </c>
      <c r="DP63" s="4">
        <v>1.33</v>
      </c>
      <c r="DQ63" s="4">
        <v>10.49</v>
      </c>
      <c r="DR63" s="4">
        <v>10.76</v>
      </c>
      <c r="DS63" s="4">
        <v>9.57</v>
      </c>
      <c r="DT63" s="4">
        <v>1.06</v>
      </c>
      <c r="DU63" s="4">
        <v>1.33</v>
      </c>
      <c r="DV63" s="4">
        <v>10.63</v>
      </c>
      <c r="DW63" s="4">
        <v>10.9</v>
      </c>
    </row>
    <row r="64" spans="1:127" ht="21.75">
      <c r="A64" s="9">
        <v>15</v>
      </c>
      <c r="B64" s="11" t="s">
        <v>108</v>
      </c>
      <c r="C64" s="57"/>
      <c r="D64" s="22"/>
      <c r="E64" s="22"/>
      <c r="F64" s="22"/>
      <c r="G64" s="22"/>
      <c r="H64" s="22"/>
      <c r="J64" s="9">
        <v>15</v>
      </c>
      <c r="K64" s="11" t="s">
        <v>108</v>
      </c>
      <c r="L64" s="63"/>
      <c r="M64" s="1371"/>
      <c r="N64" s="1372"/>
      <c r="O64" s="1372"/>
      <c r="P64" s="1372"/>
      <c r="Q64" s="1373"/>
      <c r="R64" s="1392"/>
      <c r="S64" s="1393"/>
      <c r="T64" s="1393"/>
      <c r="U64" s="1393"/>
      <c r="V64" s="1394"/>
      <c r="W64" s="561"/>
      <c r="X64" s="562"/>
      <c r="Y64" s="562"/>
      <c r="Z64" s="562"/>
      <c r="AA64" s="563"/>
      <c r="AB64" s="561"/>
      <c r="AC64" s="562"/>
      <c r="AD64" s="562"/>
      <c r="AE64" s="562"/>
      <c r="AF64" s="563"/>
      <c r="AG64" s="561"/>
      <c r="AH64" s="562"/>
      <c r="AI64" s="562"/>
      <c r="AJ64" s="562"/>
      <c r="AK64" s="563"/>
      <c r="AL64" s="561"/>
      <c r="AM64" s="562"/>
      <c r="AN64" s="562"/>
      <c r="AO64" s="562"/>
      <c r="AP64" s="563"/>
      <c r="AQ64" s="561"/>
      <c r="AR64" s="562"/>
      <c r="AS64" s="562"/>
      <c r="AT64" s="562"/>
      <c r="AU64" s="563"/>
      <c r="AV64" s="561"/>
      <c r="AW64" s="562"/>
      <c r="AX64" s="562"/>
      <c r="AY64" s="562"/>
      <c r="AZ64" s="563"/>
      <c r="BA64" s="561"/>
      <c r="BB64" s="562"/>
      <c r="BC64" s="562"/>
      <c r="BD64" s="562"/>
      <c r="BE64" s="563"/>
      <c r="BF64" s="561"/>
      <c r="BG64" s="562"/>
      <c r="BH64" s="562"/>
      <c r="BI64" s="562"/>
      <c r="BJ64" s="563"/>
      <c r="BK64" s="561"/>
      <c r="BL64" s="562"/>
      <c r="BM64" s="562"/>
      <c r="BN64" s="562"/>
      <c r="BO64" s="563"/>
      <c r="BP64" s="561"/>
      <c r="BQ64" s="562"/>
      <c r="BR64" s="562"/>
      <c r="BS64" s="562"/>
      <c r="BT64" s="563"/>
      <c r="BU64" s="561"/>
      <c r="BV64" s="562"/>
      <c r="BW64" s="562"/>
      <c r="BX64" s="562"/>
      <c r="BY64" s="563"/>
      <c r="BZ64" s="561"/>
      <c r="CA64" s="562"/>
      <c r="CB64" s="562"/>
      <c r="CC64" s="562"/>
      <c r="CD64" s="563"/>
      <c r="CE64" s="561"/>
      <c r="CF64" s="562"/>
      <c r="CG64" s="562"/>
      <c r="CH64" s="562"/>
      <c r="CI64" s="563"/>
    </row>
    <row r="65" spans="1:127" ht="21.75">
      <c r="A65" s="9"/>
      <c r="B65" s="11" t="s">
        <v>109</v>
      </c>
      <c r="C65" s="57" t="s">
        <v>64</v>
      </c>
      <c r="D65" s="22">
        <f t="shared" si="0"/>
        <v>29.51</v>
      </c>
      <c r="E65" s="22">
        <f t="shared" si="1"/>
        <v>11.03</v>
      </c>
      <c r="F65" s="22">
        <f t="shared" si="2"/>
        <v>13.79</v>
      </c>
      <c r="G65" s="22">
        <f t="shared" si="3"/>
        <v>40.54</v>
      </c>
      <c r="H65" s="22">
        <f t="shared" si="4"/>
        <v>43.3</v>
      </c>
      <c r="J65" s="9"/>
      <c r="K65" s="11" t="s">
        <v>109</v>
      </c>
      <c r="L65" s="63" t="s">
        <v>64</v>
      </c>
      <c r="M65" s="1371"/>
      <c r="N65" s="1372"/>
      <c r="O65" s="1372"/>
      <c r="P65" s="1369"/>
      <c r="Q65" s="1370"/>
      <c r="R65" s="1392">
        <v>28.3</v>
      </c>
      <c r="S65" s="1393">
        <v>11.03</v>
      </c>
      <c r="T65" s="1393">
        <v>13.79</v>
      </c>
      <c r="U65" s="1390">
        <f>R65+S65</f>
        <v>39.33</v>
      </c>
      <c r="V65" s="1391">
        <f>R65+T65</f>
        <v>42.09</v>
      </c>
      <c r="W65" s="561">
        <v>28.7</v>
      </c>
      <c r="X65" s="562">
        <v>11.03</v>
      </c>
      <c r="Y65" s="562">
        <v>13.79</v>
      </c>
      <c r="Z65" s="559">
        <v>39.729999999999997</v>
      </c>
      <c r="AA65" s="560">
        <v>42.49</v>
      </c>
      <c r="AB65" s="561">
        <v>29.1</v>
      </c>
      <c r="AC65" s="562">
        <v>11.03</v>
      </c>
      <c r="AD65" s="562">
        <v>13.79</v>
      </c>
      <c r="AE65" s="559">
        <v>40.130000000000003</v>
      </c>
      <c r="AF65" s="560">
        <v>42.89</v>
      </c>
      <c r="AG65" s="561">
        <v>29.51</v>
      </c>
      <c r="AH65" s="562">
        <v>11.03</v>
      </c>
      <c r="AI65" s="562">
        <v>13.79</v>
      </c>
      <c r="AJ65" s="559">
        <v>40.54</v>
      </c>
      <c r="AK65" s="560">
        <v>43.3</v>
      </c>
      <c r="AL65" s="561">
        <v>29.91</v>
      </c>
      <c r="AM65" s="562">
        <v>11.03</v>
      </c>
      <c r="AN65" s="562">
        <v>13.79</v>
      </c>
      <c r="AO65" s="559">
        <v>40.94</v>
      </c>
      <c r="AP65" s="560">
        <v>43.7</v>
      </c>
      <c r="AQ65" s="561">
        <v>30.31</v>
      </c>
      <c r="AR65" s="562">
        <v>11.03</v>
      </c>
      <c r="AS65" s="562">
        <v>13.79</v>
      </c>
      <c r="AT65" s="559">
        <v>41.34</v>
      </c>
      <c r="AU65" s="560">
        <v>44.1</v>
      </c>
      <c r="AV65" s="561">
        <v>30.71</v>
      </c>
      <c r="AW65" s="562">
        <v>11.03</v>
      </c>
      <c r="AX65" s="562">
        <v>13.79</v>
      </c>
      <c r="AY65" s="559">
        <v>41.74</v>
      </c>
      <c r="AZ65" s="560">
        <v>44.5</v>
      </c>
      <c r="BA65" s="561">
        <v>31.12</v>
      </c>
      <c r="BB65" s="562">
        <v>11.03</v>
      </c>
      <c r="BC65" s="562">
        <v>13.79</v>
      </c>
      <c r="BD65" s="559">
        <v>42.15</v>
      </c>
      <c r="BE65" s="560">
        <v>44.91</v>
      </c>
      <c r="BF65" s="561">
        <v>31.52</v>
      </c>
      <c r="BG65" s="562">
        <v>11.03</v>
      </c>
      <c r="BH65" s="562">
        <v>13.79</v>
      </c>
      <c r="BI65" s="559">
        <v>42.55</v>
      </c>
      <c r="BJ65" s="560">
        <v>45.31</v>
      </c>
      <c r="BK65" s="561">
        <v>31.92</v>
      </c>
      <c r="BL65" s="562">
        <v>11.03</v>
      </c>
      <c r="BM65" s="562">
        <v>13.79</v>
      </c>
      <c r="BN65" s="559">
        <v>42.95</v>
      </c>
      <c r="BO65" s="560">
        <v>45.71</v>
      </c>
      <c r="BP65" s="561">
        <v>32.32</v>
      </c>
      <c r="BQ65" s="562">
        <v>11.03</v>
      </c>
      <c r="BR65" s="562">
        <v>13.79</v>
      </c>
      <c r="BS65" s="559">
        <v>43.35</v>
      </c>
      <c r="BT65" s="560">
        <v>46.11</v>
      </c>
      <c r="BU65" s="561">
        <v>32.729999999999997</v>
      </c>
      <c r="BV65" s="562">
        <v>11.025</v>
      </c>
      <c r="BW65" s="562">
        <v>13.79</v>
      </c>
      <c r="BX65" s="559">
        <v>43.76</v>
      </c>
      <c r="BY65" s="560">
        <v>46.52</v>
      </c>
      <c r="BZ65" s="561">
        <v>33.130000000000003</v>
      </c>
      <c r="CA65" s="562">
        <v>11.03</v>
      </c>
      <c r="CB65" s="562">
        <v>13.79</v>
      </c>
      <c r="CC65" s="559">
        <v>44.16</v>
      </c>
      <c r="CD65" s="560">
        <v>46.92</v>
      </c>
      <c r="CE65" s="561">
        <v>33.53</v>
      </c>
      <c r="CF65" s="562">
        <v>11.03</v>
      </c>
      <c r="CG65" s="562">
        <v>13.79</v>
      </c>
      <c r="CH65" s="559">
        <v>44.56</v>
      </c>
      <c r="CI65" s="560">
        <v>47.32</v>
      </c>
      <c r="CJ65" s="4">
        <v>33.93</v>
      </c>
      <c r="CK65" s="4">
        <v>11.03</v>
      </c>
      <c r="CL65" s="4">
        <v>13.79</v>
      </c>
      <c r="CM65" s="4">
        <v>44.96</v>
      </c>
      <c r="CN65" s="4">
        <v>47.72</v>
      </c>
      <c r="CO65" s="4">
        <v>34.340000000000003</v>
      </c>
      <c r="CP65" s="4">
        <v>11.03</v>
      </c>
      <c r="CQ65" s="4">
        <v>13.79</v>
      </c>
      <c r="CR65" s="4">
        <v>45.37</v>
      </c>
      <c r="CS65" s="4">
        <v>48.13</v>
      </c>
      <c r="CT65" s="4">
        <v>34.74</v>
      </c>
      <c r="CU65" s="4">
        <v>11.03</v>
      </c>
      <c r="CV65" s="4">
        <v>13.79</v>
      </c>
      <c r="CW65" s="4">
        <v>45.77</v>
      </c>
      <c r="CX65" s="4">
        <v>48.53</v>
      </c>
      <c r="CY65" s="4">
        <v>35.14</v>
      </c>
      <c r="CZ65" s="4">
        <v>11.03</v>
      </c>
      <c r="DA65" s="4">
        <v>13.79</v>
      </c>
      <c r="DB65" s="4">
        <v>46.17</v>
      </c>
      <c r="DC65" s="4">
        <v>48.93</v>
      </c>
      <c r="DD65" s="4">
        <v>35.54</v>
      </c>
      <c r="DE65" s="4">
        <v>11.03</v>
      </c>
      <c r="DF65" s="4">
        <v>13.79</v>
      </c>
      <c r="DG65" s="4">
        <v>46.57</v>
      </c>
      <c r="DH65" s="4">
        <v>49.33</v>
      </c>
      <c r="DI65" s="4">
        <v>35.950000000000003</v>
      </c>
      <c r="DJ65" s="4">
        <v>11.03</v>
      </c>
      <c r="DK65" s="4">
        <v>13.79</v>
      </c>
      <c r="DL65" s="4">
        <v>46.98</v>
      </c>
      <c r="DM65" s="4">
        <v>49.74</v>
      </c>
      <c r="DN65" s="4">
        <v>36.35</v>
      </c>
      <c r="DO65" s="4">
        <v>11.03</v>
      </c>
      <c r="DP65" s="4">
        <v>13.79</v>
      </c>
      <c r="DQ65" s="4">
        <v>47.38</v>
      </c>
      <c r="DR65" s="4">
        <v>50.14</v>
      </c>
      <c r="DS65" s="4">
        <v>36.75</v>
      </c>
      <c r="DT65" s="4">
        <v>11.03</v>
      </c>
      <c r="DU65" s="4">
        <v>13.79</v>
      </c>
      <c r="DV65" s="4">
        <v>47.78</v>
      </c>
      <c r="DW65" s="4">
        <v>50.54</v>
      </c>
    </row>
    <row r="66" spans="1:127" ht="21.75">
      <c r="A66" s="9"/>
      <c r="B66" s="11" t="s">
        <v>110</v>
      </c>
      <c r="C66" s="57" t="s">
        <v>64</v>
      </c>
      <c r="D66" s="22">
        <f t="shared" si="0"/>
        <v>35.659999999999997</v>
      </c>
      <c r="E66" s="22">
        <f t="shared" si="1"/>
        <v>5.29</v>
      </c>
      <c r="F66" s="22">
        <f t="shared" si="2"/>
        <v>6.61</v>
      </c>
      <c r="G66" s="22">
        <f t="shared" si="3"/>
        <v>40.950000000000003</v>
      </c>
      <c r="H66" s="22">
        <f t="shared" si="4"/>
        <v>42.27</v>
      </c>
      <c r="J66" s="9"/>
      <c r="K66" s="11" t="s">
        <v>110</v>
      </c>
      <c r="L66" s="63" t="s">
        <v>64</v>
      </c>
      <c r="M66" s="1371"/>
      <c r="N66" s="1372"/>
      <c r="O66" s="1372"/>
      <c r="P66" s="1369"/>
      <c r="Q66" s="1370"/>
      <c r="R66" s="1392">
        <v>33.630000000000003</v>
      </c>
      <c r="S66" s="1393">
        <v>5.29</v>
      </c>
      <c r="T66" s="1393">
        <v>6.61</v>
      </c>
      <c r="U66" s="1390">
        <f>R66+S66</f>
        <v>38.92</v>
      </c>
      <c r="V66" s="1391">
        <f>R66+T66</f>
        <v>40.24</v>
      </c>
      <c r="W66" s="561">
        <v>34.31</v>
      </c>
      <c r="X66" s="562">
        <v>5.29</v>
      </c>
      <c r="Y66" s="562">
        <v>6.61</v>
      </c>
      <c r="Z66" s="559">
        <v>39.6</v>
      </c>
      <c r="AA66" s="560">
        <v>40.92</v>
      </c>
      <c r="AB66" s="561">
        <v>34.99</v>
      </c>
      <c r="AC66" s="562">
        <v>5.29</v>
      </c>
      <c r="AD66" s="562">
        <v>6.61</v>
      </c>
      <c r="AE66" s="559">
        <v>40.28</v>
      </c>
      <c r="AF66" s="560">
        <v>41.6</v>
      </c>
      <c r="AG66" s="561">
        <v>35.659999999999997</v>
      </c>
      <c r="AH66" s="562">
        <v>5.29</v>
      </c>
      <c r="AI66" s="562">
        <v>6.61</v>
      </c>
      <c r="AJ66" s="559">
        <v>40.950000000000003</v>
      </c>
      <c r="AK66" s="560">
        <v>42.27</v>
      </c>
      <c r="AL66" s="561">
        <v>36.340000000000003</v>
      </c>
      <c r="AM66" s="562">
        <v>5.29</v>
      </c>
      <c r="AN66" s="562">
        <v>6.61</v>
      </c>
      <c r="AO66" s="559">
        <v>41.63</v>
      </c>
      <c r="AP66" s="560">
        <v>42.95</v>
      </c>
      <c r="AQ66" s="561">
        <v>37.01</v>
      </c>
      <c r="AR66" s="562">
        <v>5.29</v>
      </c>
      <c r="AS66" s="562">
        <v>6.61</v>
      </c>
      <c r="AT66" s="559">
        <v>42.3</v>
      </c>
      <c r="AU66" s="560">
        <v>43.62</v>
      </c>
      <c r="AV66" s="561">
        <v>37.69</v>
      </c>
      <c r="AW66" s="562">
        <v>5.29</v>
      </c>
      <c r="AX66" s="562">
        <v>6.61</v>
      </c>
      <c r="AY66" s="559">
        <v>42.98</v>
      </c>
      <c r="AZ66" s="560">
        <v>44.3</v>
      </c>
      <c r="BA66" s="561">
        <v>38.369999999999997</v>
      </c>
      <c r="BB66" s="562">
        <v>5.29</v>
      </c>
      <c r="BC66" s="562">
        <v>6.61</v>
      </c>
      <c r="BD66" s="559">
        <v>43.66</v>
      </c>
      <c r="BE66" s="560">
        <v>44.98</v>
      </c>
      <c r="BF66" s="561">
        <v>39.04</v>
      </c>
      <c r="BG66" s="562">
        <v>5.29</v>
      </c>
      <c r="BH66" s="562">
        <v>6.61</v>
      </c>
      <c r="BI66" s="559">
        <v>44.33</v>
      </c>
      <c r="BJ66" s="560">
        <v>45.65</v>
      </c>
      <c r="BK66" s="561">
        <v>39.72</v>
      </c>
      <c r="BL66" s="562">
        <v>5.29</v>
      </c>
      <c r="BM66" s="562">
        <v>6.61</v>
      </c>
      <c r="BN66" s="559">
        <v>45.01</v>
      </c>
      <c r="BO66" s="560">
        <v>46.33</v>
      </c>
      <c r="BP66" s="561">
        <v>40.4</v>
      </c>
      <c r="BQ66" s="562">
        <v>5.29</v>
      </c>
      <c r="BR66" s="562">
        <v>6.61</v>
      </c>
      <c r="BS66" s="559">
        <v>45.69</v>
      </c>
      <c r="BT66" s="560">
        <v>47.01</v>
      </c>
      <c r="BU66" s="561">
        <v>41.07</v>
      </c>
      <c r="BV66" s="562">
        <v>5.29</v>
      </c>
      <c r="BW66" s="562">
        <v>6.61</v>
      </c>
      <c r="BX66" s="559">
        <v>46.36</v>
      </c>
      <c r="BY66" s="560">
        <v>47.68</v>
      </c>
      <c r="BZ66" s="561">
        <v>41.75</v>
      </c>
      <c r="CA66" s="562">
        <v>5.29</v>
      </c>
      <c r="CB66" s="562">
        <v>6.61</v>
      </c>
      <c r="CC66" s="559">
        <v>47.04</v>
      </c>
      <c r="CD66" s="560">
        <v>48.36</v>
      </c>
      <c r="CE66" s="561">
        <v>42.42</v>
      </c>
      <c r="CF66" s="562">
        <v>5.29</v>
      </c>
      <c r="CG66" s="562">
        <v>6.61</v>
      </c>
      <c r="CH66" s="559">
        <v>47.71</v>
      </c>
      <c r="CI66" s="560">
        <v>49.03</v>
      </c>
      <c r="CJ66" s="4">
        <v>43.1</v>
      </c>
      <c r="CK66" s="4">
        <v>5.29</v>
      </c>
      <c r="CL66" s="4">
        <v>6.61</v>
      </c>
      <c r="CM66" s="4">
        <v>48.39</v>
      </c>
      <c r="CN66" s="4">
        <v>49.71</v>
      </c>
      <c r="CO66" s="4">
        <v>43.78</v>
      </c>
      <c r="CP66" s="4">
        <v>5.29</v>
      </c>
      <c r="CQ66" s="4">
        <v>6.61</v>
      </c>
      <c r="CR66" s="4">
        <v>49.07</v>
      </c>
      <c r="CS66" s="4">
        <v>50.39</v>
      </c>
      <c r="CT66" s="4">
        <v>44.45</v>
      </c>
      <c r="CU66" s="4">
        <v>5.29</v>
      </c>
      <c r="CV66" s="4">
        <v>6.61</v>
      </c>
      <c r="CW66" s="4">
        <v>49.74</v>
      </c>
      <c r="CX66" s="4">
        <v>51.06</v>
      </c>
      <c r="CY66" s="4">
        <v>45.13</v>
      </c>
      <c r="CZ66" s="4">
        <v>5.29</v>
      </c>
      <c r="DA66" s="4">
        <v>6.61</v>
      </c>
      <c r="DB66" s="4">
        <v>50.42</v>
      </c>
      <c r="DC66" s="4">
        <v>51.74</v>
      </c>
      <c r="DD66" s="4">
        <v>45.8</v>
      </c>
      <c r="DE66" s="4">
        <v>5.29</v>
      </c>
      <c r="DF66" s="4">
        <v>6.61</v>
      </c>
      <c r="DG66" s="4">
        <v>51.09</v>
      </c>
      <c r="DH66" s="4">
        <v>52.41</v>
      </c>
      <c r="DI66" s="4">
        <v>46.48</v>
      </c>
      <c r="DJ66" s="4">
        <v>5.29</v>
      </c>
      <c r="DK66" s="4">
        <v>6.61</v>
      </c>
      <c r="DL66" s="4">
        <v>51.77</v>
      </c>
      <c r="DM66" s="4">
        <v>53.09</v>
      </c>
      <c r="DN66" s="4">
        <v>47.16</v>
      </c>
      <c r="DO66" s="4">
        <v>5.29</v>
      </c>
      <c r="DP66" s="4">
        <v>6.61</v>
      </c>
      <c r="DQ66" s="4">
        <v>52.45</v>
      </c>
      <c r="DR66" s="4">
        <v>53.77</v>
      </c>
      <c r="DS66" s="4">
        <v>47.83</v>
      </c>
      <c r="DT66" s="4">
        <v>5.29</v>
      </c>
      <c r="DU66" s="4">
        <v>6.61</v>
      </c>
      <c r="DV66" s="4">
        <v>53.12</v>
      </c>
      <c r="DW66" s="4">
        <v>54.44</v>
      </c>
    </row>
    <row r="67" spans="1:127" ht="21.75">
      <c r="A67" s="9"/>
      <c r="B67" s="11" t="s">
        <v>111</v>
      </c>
      <c r="C67" s="57" t="s">
        <v>64</v>
      </c>
      <c r="D67" s="22">
        <f t="shared" si="0"/>
        <v>32.46</v>
      </c>
      <c r="E67" s="22">
        <f t="shared" si="1"/>
        <v>11.03</v>
      </c>
      <c r="F67" s="22">
        <f t="shared" si="2"/>
        <v>13.79</v>
      </c>
      <c r="G67" s="22">
        <f t="shared" si="3"/>
        <v>43.49</v>
      </c>
      <c r="H67" s="22">
        <f t="shared" si="4"/>
        <v>46.25</v>
      </c>
      <c r="J67" s="9"/>
      <c r="K67" s="11" t="s">
        <v>111</v>
      </c>
      <c r="L67" s="63" t="s">
        <v>64</v>
      </c>
      <c r="M67" s="1371"/>
      <c r="N67" s="1372"/>
      <c r="O67" s="1372"/>
      <c r="P67" s="1369"/>
      <c r="Q67" s="1370"/>
      <c r="R67" s="1392">
        <v>31.13</v>
      </c>
      <c r="S67" s="1393">
        <v>11.03</v>
      </c>
      <c r="T67" s="1393">
        <v>13.79</v>
      </c>
      <c r="U67" s="1390">
        <f>R67+S67</f>
        <v>42.16</v>
      </c>
      <c r="V67" s="1391">
        <f>R67+T67</f>
        <v>44.92</v>
      </c>
      <c r="W67" s="561">
        <v>31.57</v>
      </c>
      <c r="X67" s="562">
        <v>11.03</v>
      </c>
      <c r="Y67" s="562">
        <v>13.79</v>
      </c>
      <c r="Z67" s="559">
        <v>42.6</v>
      </c>
      <c r="AA67" s="560">
        <v>45.36</v>
      </c>
      <c r="AB67" s="561">
        <v>32.020000000000003</v>
      </c>
      <c r="AC67" s="562">
        <v>11.03</v>
      </c>
      <c r="AD67" s="562">
        <v>13.79</v>
      </c>
      <c r="AE67" s="559">
        <v>43.05</v>
      </c>
      <c r="AF67" s="560">
        <v>45.81</v>
      </c>
      <c r="AG67" s="561">
        <v>32.46</v>
      </c>
      <c r="AH67" s="562">
        <v>11.03</v>
      </c>
      <c r="AI67" s="562">
        <v>13.79</v>
      </c>
      <c r="AJ67" s="559">
        <v>43.49</v>
      </c>
      <c r="AK67" s="560">
        <v>46.25</v>
      </c>
      <c r="AL67" s="561">
        <v>32.9</v>
      </c>
      <c r="AM67" s="562">
        <v>11.03</v>
      </c>
      <c r="AN67" s="562">
        <v>13.79</v>
      </c>
      <c r="AO67" s="559">
        <v>43.93</v>
      </c>
      <c r="AP67" s="560">
        <v>46.69</v>
      </c>
      <c r="AQ67" s="561">
        <v>33.340000000000003</v>
      </c>
      <c r="AR67" s="562">
        <v>11.03</v>
      </c>
      <c r="AS67" s="562">
        <v>13.79</v>
      </c>
      <c r="AT67" s="559">
        <v>44.37</v>
      </c>
      <c r="AU67" s="560">
        <v>47.13</v>
      </c>
      <c r="AV67" s="561">
        <v>33.79</v>
      </c>
      <c r="AW67" s="562">
        <v>11.03</v>
      </c>
      <c r="AX67" s="562">
        <v>13.79</v>
      </c>
      <c r="AY67" s="559">
        <v>44.82</v>
      </c>
      <c r="AZ67" s="560">
        <v>47.58</v>
      </c>
      <c r="BA67" s="561">
        <v>34.229999999999997</v>
      </c>
      <c r="BB67" s="562">
        <v>11.03</v>
      </c>
      <c r="BC67" s="562">
        <v>13.79</v>
      </c>
      <c r="BD67" s="559">
        <v>45.26</v>
      </c>
      <c r="BE67" s="560">
        <v>48.02</v>
      </c>
      <c r="BF67" s="561">
        <v>34.67</v>
      </c>
      <c r="BG67" s="562">
        <v>11.03</v>
      </c>
      <c r="BH67" s="562">
        <v>13.79</v>
      </c>
      <c r="BI67" s="559">
        <v>45.7</v>
      </c>
      <c r="BJ67" s="560">
        <v>48.46</v>
      </c>
      <c r="BK67" s="561">
        <v>35.11</v>
      </c>
      <c r="BL67" s="562">
        <v>11.03</v>
      </c>
      <c r="BM67" s="562">
        <v>13.79</v>
      </c>
      <c r="BN67" s="559">
        <v>46.14</v>
      </c>
      <c r="BO67" s="560">
        <v>48.9</v>
      </c>
      <c r="BP67" s="561">
        <v>35.56</v>
      </c>
      <c r="BQ67" s="562">
        <v>11.03</v>
      </c>
      <c r="BR67" s="562">
        <v>13.79</v>
      </c>
      <c r="BS67" s="559">
        <v>46.59</v>
      </c>
      <c r="BT67" s="560">
        <v>49.35</v>
      </c>
      <c r="BU67" s="561">
        <v>36</v>
      </c>
      <c r="BV67" s="562">
        <v>11.025</v>
      </c>
      <c r="BW67" s="562">
        <v>13.79</v>
      </c>
      <c r="BX67" s="559">
        <v>47.03</v>
      </c>
      <c r="BY67" s="560">
        <v>49.79</v>
      </c>
      <c r="BZ67" s="561">
        <v>36.44</v>
      </c>
      <c r="CA67" s="562">
        <v>11.03</v>
      </c>
      <c r="CB67" s="562">
        <v>13.79</v>
      </c>
      <c r="CC67" s="559">
        <v>47.47</v>
      </c>
      <c r="CD67" s="560">
        <v>50.23</v>
      </c>
      <c r="CE67" s="561">
        <v>36.89</v>
      </c>
      <c r="CF67" s="562">
        <v>11.03</v>
      </c>
      <c r="CG67" s="562">
        <v>13.79</v>
      </c>
      <c r="CH67" s="559">
        <v>47.92</v>
      </c>
      <c r="CI67" s="560">
        <v>50.68</v>
      </c>
      <c r="CJ67" s="4">
        <v>37.33</v>
      </c>
      <c r="CK67" s="4">
        <v>11.03</v>
      </c>
      <c r="CL67" s="4">
        <v>13.79</v>
      </c>
      <c r="CM67" s="4">
        <v>48.36</v>
      </c>
      <c r="CN67" s="4">
        <v>51.12</v>
      </c>
      <c r="CO67" s="4">
        <v>37.770000000000003</v>
      </c>
      <c r="CP67" s="4">
        <v>11.03</v>
      </c>
      <c r="CQ67" s="4">
        <v>13.79</v>
      </c>
      <c r="CR67" s="4">
        <v>48.8</v>
      </c>
      <c r="CS67" s="4">
        <v>51.56</v>
      </c>
      <c r="CT67" s="4">
        <v>38.21</v>
      </c>
      <c r="CU67" s="4">
        <v>11.03</v>
      </c>
      <c r="CV67" s="4">
        <v>13.79</v>
      </c>
      <c r="CW67" s="4">
        <v>49.24</v>
      </c>
      <c r="CX67" s="4">
        <v>52</v>
      </c>
      <c r="CY67" s="4">
        <v>38.659999999999997</v>
      </c>
      <c r="CZ67" s="4">
        <v>11.03</v>
      </c>
      <c r="DA67" s="4">
        <v>13.79</v>
      </c>
      <c r="DB67" s="4">
        <v>49.69</v>
      </c>
      <c r="DC67" s="4">
        <v>52.45</v>
      </c>
      <c r="DD67" s="4">
        <v>39.1</v>
      </c>
      <c r="DE67" s="4">
        <v>11.03</v>
      </c>
      <c r="DF67" s="4">
        <v>13.79</v>
      </c>
      <c r="DG67" s="4">
        <v>50.13</v>
      </c>
      <c r="DH67" s="4">
        <v>52.89</v>
      </c>
      <c r="DI67" s="4">
        <v>39.54</v>
      </c>
      <c r="DJ67" s="4">
        <v>11.03</v>
      </c>
      <c r="DK67" s="4">
        <v>13.79</v>
      </c>
      <c r="DL67" s="4">
        <v>50.57</v>
      </c>
      <c r="DM67" s="4">
        <v>53.33</v>
      </c>
      <c r="DN67" s="4">
        <v>39.979999999999997</v>
      </c>
      <c r="DO67" s="4">
        <v>11.03</v>
      </c>
      <c r="DP67" s="4">
        <v>13.79</v>
      </c>
      <c r="DQ67" s="4">
        <v>51.01</v>
      </c>
      <c r="DR67" s="4">
        <v>53.77</v>
      </c>
      <c r="DS67" s="4">
        <v>40.43</v>
      </c>
      <c r="DT67" s="4">
        <v>11.03</v>
      </c>
      <c r="DU67" s="4">
        <v>13.79</v>
      </c>
      <c r="DV67" s="4">
        <v>51.46</v>
      </c>
      <c r="DW67" s="4">
        <v>54.22</v>
      </c>
    </row>
    <row r="68" spans="1:127" ht="21.75">
      <c r="A68" s="9"/>
      <c r="B68" s="11" t="s">
        <v>112</v>
      </c>
      <c r="C68" s="57" t="s">
        <v>64</v>
      </c>
      <c r="D68" s="22">
        <f t="shared" si="0"/>
        <v>35.659999999999997</v>
      </c>
      <c r="E68" s="22">
        <f t="shared" si="1"/>
        <v>5.29</v>
      </c>
      <c r="F68" s="22">
        <f t="shared" si="2"/>
        <v>6.61</v>
      </c>
      <c r="G68" s="22">
        <f t="shared" si="3"/>
        <v>40.950000000000003</v>
      </c>
      <c r="H68" s="22">
        <f t="shared" si="4"/>
        <v>42.27</v>
      </c>
      <c r="J68" s="9"/>
      <c r="K68" s="11" t="s">
        <v>112</v>
      </c>
      <c r="L68" s="63" t="s">
        <v>64</v>
      </c>
      <c r="M68" s="1371"/>
      <c r="N68" s="1372"/>
      <c r="O68" s="1372"/>
      <c r="P68" s="1369"/>
      <c r="Q68" s="1370"/>
      <c r="R68" s="1392">
        <v>33.630000000000003</v>
      </c>
      <c r="S68" s="1393">
        <v>5.29</v>
      </c>
      <c r="T68" s="1393">
        <v>6.61</v>
      </c>
      <c r="U68" s="1390">
        <f>R68+S68</f>
        <v>38.92</v>
      </c>
      <c r="V68" s="1391">
        <f>R68+T68</f>
        <v>40.24</v>
      </c>
      <c r="W68" s="561">
        <v>34.31</v>
      </c>
      <c r="X68" s="562">
        <v>5.29</v>
      </c>
      <c r="Y68" s="562">
        <v>6.61</v>
      </c>
      <c r="Z68" s="559">
        <v>39.6</v>
      </c>
      <c r="AA68" s="560">
        <v>40.92</v>
      </c>
      <c r="AB68" s="561">
        <v>34.99</v>
      </c>
      <c r="AC68" s="562">
        <v>5.29</v>
      </c>
      <c r="AD68" s="562">
        <v>6.61</v>
      </c>
      <c r="AE68" s="559">
        <v>40.28</v>
      </c>
      <c r="AF68" s="560">
        <v>41.6</v>
      </c>
      <c r="AG68" s="561">
        <v>35.659999999999997</v>
      </c>
      <c r="AH68" s="562">
        <v>5.29</v>
      </c>
      <c r="AI68" s="562">
        <v>6.61</v>
      </c>
      <c r="AJ68" s="559">
        <v>40.950000000000003</v>
      </c>
      <c r="AK68" s="560">
        <v>42.27</v>
      </c>
      <c r="AL68" s="561">
        <v>36.340000000000003</v>
      </c>
      <c r="AM68" s="562">
        <v>5.29</v>
      </c>
      <c r="AN68" s="562">
        <v>6.61</v>
      </c>
      <c r="AO68" s="559">
        <v>41.63</v>
      </c>
      <c r="AP68" s="560">
        <v>42.95</v>
      </c>
      <c r="AQ68" s="561">
        <v>37.01</v>
      </c>
      <c r="AR68" s="562">
        <v>5.29</v>
      </c>
      <c r="AS68" s="562">
        <v>6.61</v>
      </c>
      <c r="AT68" s="559">
        <v>42.3</v>
      </c>
      <c r="AU68" s="560">
        <v>43.62</v>
      </c>
      <c r="AV68" s="561">
        <v>37.69</v>
      </c>
      <c r="AW68" s="562">
        <v>5.29</v>
      </c>
      <c r="AX68" s="562">
        <v>6.61</v>
      </c>
      <c r="AY68" s="559">
        <v>42.98</v>
      </c>
      <c r="AZ68" s="560">
        <v>44.3</v>
      </c>
      <c r="BA68" s="561">
        <v>38.369999999999997</v>
      </c>
      <c r="BB68" s="562">
        <v>5.29</v>
      </c>
      <c r="BC68" s="562">
        <v>6.61</v>
      </c>
      <c r="BD68" s="559">
        <v>43.66</v>
      </c>
      <c r="BE68" s="560">
        <v>44.98</v>
      </c>
      <c r="BF68" s="561">
        <v>39.04</v>
      </c>
      <c r="BG68" s="562">
        <v>5.29</v>
      </c>
      <c r="BH68" s="562">
        <v>6.61</v>
      </c>
      <c r="BI68" s="559">
        <v>44.33</v>
      </c>
      <c r="BJ68" s="560">
        <v>45.65</v>
      </c>
      <c r="BK68" s="561">
        <v>39.72</v>
      </c>
      <c r="BL68" s="562">
        <v>5.29</v>
      </c>
      <c r="BM68" s="562">
        <v>6.61</v>
      </c>
      <c r="BN68" s="559">
        <v>45.01</v>
      </c>
      <c r="BO68" s="560">
        <v>46.33</v>
      </c>
      <c r="BP68" s="561">
        <v>40.4</v>
      </c>
      <c r="BQ68" s="562">
        <v>5.29</v>
      </c>
      <c r="BR68" s="562">
        <v>6.61</v>
      </c>
      <c r="BS68" s="559">
        <v>45.69</v>
      </c>
      <c r="BT68" s="560">
        <v>47.01</v>
      </c>
      <c r="BU68" s="561">
        <v>41.07</v>
      </c>
      <c r="BV68" s="562">
        <v>5.29</v>
      </c>
      <c r="BW68" s="562">
        <v>6.61</v>
      </c>
      <c r="BX68" s="559">
        <v>46.36</v>
      </c>
      <c r="BY68" s="560">
        <v>47.68</v>
      </c>
      <c r="BZ68" s="561">
        <v>41.75</v>
      </c>
      <c r="CA68" s="562">
        <v>5.29</v>
      </c>
      <c r="CB68" s="562">
        <v>6.61</v>
      </c>
      <c r="CC68" s="559">
        <v>47.04</v>
      </c>
      <c r="CD68" s="560">
        <v>48.36</v>
      </c>
      <c r="CE68" s="561">
        <v>42.42</v>
      </c>
      <c r="CF68" s="562">
        <v>5.29</v>
      </c>
      <c r="CG68" s="562">
        <v>6.61</v>
      </c>
      <c r="CH68" s="559">
        <v>47.71</v>
      </c>
      <c r="CI68" s="560">
        <v>49.03</v>
      </c>
      <c r="CJ68" s="4">
        <v>43.1</v>
      </c>
      <c r="CK68" s="4">
        <v>5.29</v>
      </c>
      <c r="CL68" s="4">
        <v>6.61</v>
      </c>
      <c r="CM68" s="4">
        <v>48.39</v>
      </c>
      <c r="CN68" s="4">
        <v>49.71</v>
      </c>
      <c r="CO68" s="4">
        <v>43.78</v>
      </c>
      <c r="CP68" s="4">
        <v>5.29</v>
      </c>
      <c r="CQ68" s="4">
        <v>6.61</v>
      </c>
      <c r="CR68" s="4">
        <v>49.07</v>
      </c>
      <c r="CS68" s="4">
        <v>50.39</v>
      </c>
      <c r="CT68" s="4">
        <v>44.45</v>
      </c>
      <c r="CU68" s="4">
        <v>5.29</v>
      </c>
      <c r="CV68" s="4">
        <v>6.61</v>
      </c>
      <c r="CW68" s="4">
        <v>49.74</v>
      </c>
      <c r="CX68" s="4">
        <v>51.06</v>
      </c>
      <c r="CY68" s="4">
        <v>45.13</v>
      </c>
      <c r="CZ68" s="4">
        <v>5.29</v>
      </c>
      <c r="DA68" s="4">
        <v>6.61</v>
      </c>
      <c r="DB68" s="4">
        <v>50.42</v>
      </c>
      <c r="DC68" s="4">
        <v>51.74</v>
      </c>
      <c r="DD68" s="4">
        <v>45.8</v>
      </c>
      <c r="DE68" s="4">
        <v>5.29</v>
      </c>
      <c r="DF68" s="4">
        <v>6.61</v>
      </c>
      <c r="DG68" s="4">
        <v>51.09</v>
      </c>
      <c r="DH68" s="4">
        <v>52.41</v>
      </c>
      <c r="DI68" s="4">
        <v>46.48</v>
      </c>
      <c r="DJ68" s="4">
        <v>5.29</v>
      </c>
      <c r="DK68" s="4">
        <v>6.61</v>
      </c>
      <c r="DL68" s="4">
        <v>51.77</v>
      </c>
      <c r="DM68" s="4">
        <v>53.09</v>
      </c>
      <c r="DN68" s="4">
        <v>47.16</v>
      </c>
      <c r="DO68" s="4">
        <v>5.29</v>
      </c>
      <c r="DP68" s="4">
        <v>6.61</v>
      </c>
      <c r="DQ68" s="4">
        <v>52.45</v>
      </c>
      <c r="DR68" s="4">
        <v>53.77</v>
      </c>
      <c r="DS68" s="4">
        <v>47.83</v>
      </c>
      <c r="DT68" s="4">
        <v>5.29</v>
      </c>
      <c r="DU68" s="4">
        <v>6.61</v>
      </c>
      <c r="DV68" s="4">
        <v>53.12</v>
      </c>
      <c r="DW68" s="4">
        <v>54.44</v>
      </c>
    </row>
    <row r="69" spans="1:127" s="13" customFormat="1" ht="21.75">
      <c r="A69" s="9">
        <v>16</v>
      </c>
      <c r="B69" s="11" t="s">
        <v>113</v>
      </c>
      <c r="C69" s="57"/>
      <c r="D69" s="22"/>
      <c r="E69" s="22"/>
      <c r="F69" s="22"/>
      <c r="G69" s="22"/>
      <c r="H69" s="22"/>
      <c r="J69" s="9">
        <v>16</v>
      </c>
      <c r="K69" s="11" t="s">
        <v>113</v>
      </c>
      <c r="L69" s="63"/>
      <c r="M69" s="1371"/>
      <c r="N69" s="1372"/>
      <c r="O69" s="1372"/>
      <c r="P69" s="1372"/>
      <c r="Q69" s="1373"/>
      <c r="R69" s="1392"/>
      <c r="S69" s="1393"/>
      <c r="T69" s="1393"/>
      <c r="U69" s="1393"/>
      <c r="V69" s="1394"/>
      <c r="W69" s="561"/>
      <c r="X69" s="562"/>
      <c r="Y69" s="562"/>
      <c r="Z69" s="562"/>
      <c r="AA69" s="563"/>
      <c r="AB69" s="561"/>
      <c r="AC69" s="562"/>
      <c r="AD69" s="562"/>
      <c r="AE69" s="562"/>
      <c r="AF69" s="563"/>
      <c r="AG69" s="561"/>
      <c r="AH69" s="562"/>
      <c r="AI69" s="562"/>
      <c r="AJ69" s="562"/>
      <c r="AK69" s="563"/>
      <c r="AL69" s="561"/>
      <c r="AM69" s="562"/>
      <c r="AN69" s="562"/>
      <c r="AO69" s="562"/>
      <c r="AP69" s="563"/>
      <c r="AQ69" s="561"/>
      <c r="AR69" s="562"/>
      <c r="AS69" s="562"/>
      <c r="AT69" s="562"/>
      <c r="AU69" s="563"/>
      <c r="AV69" s="561"/>
      <c r="AW69" s="562"/>
      <c r="AX69" s="562"/>
      <c r="AY69" s="562"/>
      <c r="AZ69" s="563"/>
      <c r="BA69" s="561"/>
      <c r="BB69" s="562"/>
      <c r="BC69" s="562"/>
      <c r="BD69" s="562"/>
      <c r="BE69" s="563"/>
      <c r="BF69" s="561"/>
      <c r="BG69" s="562"/>
      <c r="BH69" s="562"/>
      <c r="BI69" s="562"/>
      <c r="BJ69" s="563"/>
      <c r="BK69" s="561"/>
      <c r="BL69" s="562"/>
      <c r="BM69" s="562"/>
      <c r="BN69" s="562"/>
      <c r="BO69" s="563"/>
      <c r="BP69" s="561"/>
      <c r="BQ69" s="562"/>
      <c r="BR69" s="562"/>
      <c r="BS69" s="562"/>
      <c r="BT69" s="563"/>
      <c r="BU69" s="561"/>
      <c r="BV69" s="562"/>
      <c r="BW69" s="562"/>
      <c r="BX69" s="562"/>
      <c r="BY69" s="563"/>
      <c r="BZ69" s="561"/>
      <c r="CA69" s="562"/>
      <c r="CB69" s="562"/>
      <c r="CC69" s="562"/>
      <c r="CD69" s="563"/>
      <c r="CE69" s="561"/>
      <c r="CF69" s="562"/>
      <c r="CG69" s="562"/>
      <c r="CH69" s="562"/>
      <c r="CI69" s="563"/>
    </row>
    <row r="70" spans="1:127" s="13" customFormat="1" ht="21.75">
      <c r="A70" s="9"/>
      <c r="B70" s="11" t="s">
        <v>114</v>
      </c>
      <c r="C70" s="57" t="s">
        <v>7</v>
      </c>
      <c r="D70" s="22">
        <f t="shared" si="0"/>
        <v>21.75</v>
      </c>
      <c r="E70" s="22">
        <f t="shared" si="1"/>
        <v>5.92</v>
      </c>
      <c r="F70" s="22">
        <f t="shared" si="2"/>
        <v>7.4</v>
      </c>
      <c r="G70" s="22">
        <f t="shared" si="3"/>
        <v>27.67</v>
      </c>
      <c r="H70" s="22">
        <f t="shared" si="4"/>
        <v>29.15</v>
      </c>
      <c r="J70" s="9"/>
      <c r="K70" s="11" t="s">
        <v>114</v>
      </c>
      <c r="L70" s="63" t="s">
        <v>7</v>
      </c>
      <c r="M70" s="1371"/>
      <c r="N70" s="1372"/>
      <c r="O70" s="1372"/>
      <c r="P70" s="1369"/>
      <c r="Q70" s="1370"/>
      <c r="R70" s="1392">
        <v>21.33</v>
      </c>
      <c r="S70" s="1393">
        <v>5.92</v>
      </c>
      <c r="T70" s="1393">
        <v>7.4</v>
      </c>
      <c r="U70" s="1390">
        <f t="shared" ref="U70:U75" si="9">R70+S70</f>
        <v>27.25</v>
      </c>
      <c r="V70" s="1391">
        <f t="shared" ref="V70:V75" si="10">R70+T70</f>
        <v>28.729999999999997</v>
      </c>
      <c r="W70" s="561">
        <v>21.47</v>
      </c>
      <c r="X70" s="562">
        <v>5.92</v>
      </c>
      <c r="Y70" s="562">
        <v>7.4</v>
      </c>
      <c r="Z70" s="559">
        <v>27.39</v>
      </c>
      <c r="AA70" s="560">
        <v>28.87</v>
      </c>
      <c r="AB70" s="561">
        <v>21.61</v>
      </c>
      <c r="AC70" s="562">
        <v>5.92</v>
      </c>
      <c r="AD70" s="562">
        <v>7.4</v>
      </c>
      <c r="AE70" s="559">
        <v>27.53</v>
      </c>
      <c r="AF70" s="560">
        <v>29.01</v>
      </c>
      <c r="AG70" s="561">
        <v>21.75</v>
      </c>
      <c r="AH70" s="562">
        <v>5.92</v>
      </c>
      <c r="AI70" s="562">
        <v>7.4</v>
      </c>
      <c r="AJ70" s="559">
        <v>27.67</v>
      </c>
      <c r="AK70" s="560">
        <v>29.15</v>
      </c>
      <c r="AL70" s="561">
        <v>21.89</v>
      </c>
      <c r="AM70" s="562">
        <v>5.92</v>
      </c>
      <c r="AN70" s="562">
        <v>7.4</v>
      </c>
      <c r="AO70" s="559">
        <v>27.81</v>
      </c>
      <c r="AP70" s="560">
        <v>29.29</v>
      </c>
      <c r="AQ70" s="561">
        <v>22.04</v>
      </c>
      <c r="AR70" s="562">
        <v>5.92</v>
      </c>
      <c r="AS70" s="562">
        <v>7.4</v>
      </c>
      <c r="AT70" s="559">
        <v>27.96</v>
      </c>
      <c r="AU70" s="560">
        <v>29.44</v>
      </c>
      <c r="AV70" s="561">
        <v>22.18</v>
      </c>
      <c r="AW70" s="562">
        <v>5.92</v>
      </c>
      <c r="AX70" s="562">
        <v>7.4</v>
      </c>
      <c r="AY70" s="559">
        <v>28.1</v>
      </c>
      <c r="AZ70" s="560">
        <v>29.58</v>
      </c>
      <c r="BA70" s="561">
        <v>22.32</v>
      </c>
      <c r="BB70" s="562">
        <v>5.92</v>
      </c>
      <c r="BC70" s="562">
        <v>7.4</v>
      </c>
      <c r="BD70" s="559">
        <v>28.24</v>
      </c>
      <c r="BE70" s="560">
        <v>29.72</v>
      </c>
      <c r="BF70" s="561">
        <v>22.46</v>
      </c>
      <c r="BG70" s="562">
        <v>5.92</v>
      </c>
      <c r="BH70" s="562">
        <v>7.4</v>
      </c>
      <c r="BI70" s="559">
        <v>28.38</v>
      </c>
      <c r="BJ70" s="560">
        <v>29.86</v>
      </c>
      <c r="BK70" s="561">
        <v>22.6</v>
      </c>
      <c r="BL70" s="562">
        <v>5.92</v>
      </c>
      <c r="BM70" s="562">
        <v>7.4</v>
      </c>
      <c r="BN70" s="559">
        <v>28.52</v>
      </c>
      <c r="BO70" s="560">
        <v>30</v>
      </c>
      <c r="BP70" s="561">
        <v>22.75</v>
      </c>
      <c r="BQ70" s="562">
        <v>5.92</v>
      </c>
      <c r="BR70" s="562">
        <v>7.4</v>
      </c>
      <c r="BS70" s="559">
        <v>28.67</v>
      </c>
      <c r="BT70" s="560">
        <v>30.15</v>
      </c>
      <c r="BU70" s="561">
        <v>22.89</v>
      </c>
      <c r="BV70" s="562">
        <v>5.92</v>
      </c>
      <c r="BW70" s="562">
        <v>7.4</v>
      </c>
      <c r="BX70" s="559">
        <v>28.81</v>
      </c>
      <c r="BY70" s="560">
        <v>30.29</v>
      </c>
      <c r="BZ70" s="561">
        <v>23.03</v>
      </c>
      <c r="CA70" s="562">
        <v>5.92</v>
      </c>
      <c r="CB70" s="562">
        <v>7.4</v>
      </c>
      <c r="CC70" s="559">
        <v>28.95</v>
      </c>
      <c r="CD70" s="560">
        <v>30.43</v>
      </c>
      <c r="CE70" s="561">
        <v>23.17</v>
      </c>
      <c r="CF70" s="562">
        <v>5.92</v>
      </c>
      <c r="CG70" s="562">
        <v>7.4</v>
      </c>
      <c r="CH70" s="559">
        <v>29.09</v>
      </c>
      <c r="CI70" s="560">
        <v>30.57</v>
      </c>
      <c r="CJ70" s="13">
        <v>23.31</v>
      </c>
      <c r="CK70" s="13">
        <v>5.92</v>
      </c>
      <c r="CL70" s="13">
        <v>7.4</v>
      </c>
      <c r="CM70" s="13">
        <v>29.23</v>
      </c>
      <c r="CN70" s="13">
        <v>30.71</v>
      </c>
      <c r="CO70" s="13">
        <v>23.46</v>
      </c>
      <c r="CP70" s="13">
        <v>5.92</v>
      </c>
      <c r="CQ70" s="13">
        <v>7.4</v>
      </c>
      <c r="CR70" s="13">
        <v>29.38</v>
      </c>
      <c r="CS70" s="13">
        <v>30.86</v>
      </c>
      <c r="CT70" s="13">
        <v>23.6</v>
      </c>
      <c r="CU70" s="13">
        <v>5.92</v>
      </c>
      <c r="CV70" s="13">
        <v>7.4</v>
      </c>
      <c r="CW70" s="13">
        <v>29.52</v>
      </c>
      <c r="CX70" s="13">
        <v>31</v>
      </c>
      <c r="CY70" s="13">
        <v>23.74</v>
      </c>
      <c r="CZ70" s="13">
        <v>5.92</v>
      </c>
      <c r="DA70" s="13">
        <v>7.4</v>
      </c>
      <c r="DB70" s="13">
        <v>29.66</v>
      </c>
      <c r="DC70" s="13">
        <v>31.14</v>
      </c>
      <c r="DD70" s="13">
        <v>23.88</v>
      </c>
      <c r="DE70" s="13">
        <v>5.92</v>
      </c>
      <c r="DF70" s="13">
        <v>7.4</v>
      </c>
      <c r="DG70" s="13">
        <v>29.8</v>
      </c>
      <c r="DH70" s="13">
        <v>31.28</v>
      </c>
      <c r="DI70" s="13">
        <v>24.02</v>
      </c>
      <c r="DJ70" s="13">
        <v>5.92</v>
      </c>
      <c r="DK70" s="13">
        <v>7.4</v>
      </c>
      <c r="DL70" s="13">
        <v>29.94</v>
      </c>
      <c r="DM70" s="13">
        <v>31.42</v>
      </c>
      <c r="DN70" s="13">
        <v>24.16</v>
      </c>
      <c r="DO70" s="13">
        <v>5.92</v>
      </c>
      <c r="DP70" s="13">
        <v>7.4</v>
      </c>
      <c r="DQ70" s="13">
        <v>30.08</v>
      </c>
      <c r="DR70" s="13">
        <v>31.56</v>
      </c>
      <c r="DS70" s="13">
        <v>24.31</v>
      </c>
      <c r="DT70" s="13">
        <v>5.92</v>
      </c>
      <c r="DU70" s="13">
        <v>7.4</v>
      </c>
      <c r="DV70" s="13">
        <v>30.23</v>
      </c>
      <c r="DW70" s="13">
        <v>31.71</v>
      </c>
    </row>
    <row r="71" spans="1:127" s="13" customFormat="1" ht="21.75">
      <c r="A71" s="9"/>
      <c r="B71" s="11" t="s">
        <v>115</v>
      </c>
      <c r="C71" s="57" t="s">
        <v>7</v>
      </c>
      <c r="D71" s="22">
        <f t="shared" si="0"/>
        <v>27.19</v>
      </c>
      <c r="E71" s="22">
        <f t="shared" si="1"/>
        <v>7.39</v>
      </c>
      <c r="F71" s="22">
        <f t="shared" si="2"/>
        <v>8.24</v>
      </c>
      <c r="G71" s="22">
        <f t="shared" si="3"/>
        <v>34.58</v>
      </c>
      <c r="H71" s="22">
        <f t="shared" si="4"/>
        <v>36.43</v>
      </c>
      <c r="J71" s="9"/>
      <c r="K71" s="11" t="s">
        <v>115</v>
      </c>
      <c r="L71" s="63" t="s">
        <v>7</v>
      </c>
      <c r="M71" s="1371"/>
      <c r="N71" s="1372"/>
      <c r="O71" s="1372"/>
      <c r="P71" s="1369"/>
      <c r="Q71" s="1370"/>
      <c r="R71" s="1392">
        <v>26.66</v>
      </c>
      <c r="S71" s="1393">
        <v>7.39</v>
      </c>
      <c r="T71" s="1393">
        <v>9.24</v>
      </c>
      <c r="U71" s="1390">
        <f t="shared" si="9"/>
        <v>34.049999999999997</v>
      </c>
      <c r="V71" s="1391">
        <f t="shared" si="10"/>
        <v>35.9</v>
      </c>
      <c r="W71" s="561">
        <v>26.83</v>
      </c>
      <c r="X71" s="562">
        <v>7.39</v>
      </c>
      <c r="Y71" s="562">
        <v>9.24</v>
      </c>
      <c r="Z71" s="559">
        <v>34.22</v>
      </c>
      <c r="AA71" s="560">
        <v>36.07</v>
      </c>
      <c r="AB71" s="561">
        <v>27.01</v>
      </c>
      <c r="AC71" s="562">
        <v>7.39</v>
      </c>
      <c r="AD71" s="562">
        <v>9.24</v>
      </c>
      <c r="AE71" s="559">
        <v>34.4</v>
      </c>
      <c r="AF71" s="560">
        <v>36.25</v>
      </c>
      <c r="AG71" s="561">
        <v>27.19</v>
      </c>
      <c r="AH71" s="562">
        <v>7.39</v>
      </c>
      <c r="AI71" s="562">
        <v>8.24</v>
      </c>
      <c r="AJ71" s="559">
        <v>34.58</v>
      </c>
      <c r="AK71" s="560">
        <v>36.43</v>
      </c>
      <c r="AL71" s="561">
        <v>27.37</v>
      </c>
      <c r="AM71" s="562">
        <v>7.39</v>
      </c>
      <c r="AN71" s="562">
        <v>9.24</v>
      </c>
      <c r="AO71" s="559">
        <v>34.76</v>
      </c>
      <c r="AP71" s="560">
        <v>36.61</v>
      </c>
      <c r="AQ71" s="561">
        <v>27.54</v>
      </c>
      <c r="AR71" s="562">
        <v>7.39</v>
      </c>
      <c r="AS71" s="562">
        <v>9.24</v>
      </c>
      <c r="AT71" s="559">
        <v>34.93</v>
      </c>
      <c r="AU71" s="560">
        <v>36.78</v>
      </c>
      <c r="AV71" s="561">
        <v>27.72</v>
      </c>
      <c r="AW71" s="562">
        <v>7.39</v>
      </c>
      <c r="AX71" s="562">
        <v>9.24</v>
      </c>
      <c r="AY71" s="559">
        <v>35.11</v>
      </c>
      <c r="AZ71" s="560">
        <v>36.96</v>
      </c>
      <c r="BA71" s="561">
        <v>27.9</v>
      </c>
      <c r="BB71" s="562">
        <v>7.39</v>
      </c>
      <c r="BC71" s="562">
        <v>9.24</v>
      </c>
      <c r="BD71" s="559">
        <v>35.29</v>
      </c>
      <c r="BE71" s="560">
        <v>37.14</v>
      </c>
      <c r="BF71" s="561">
        <v>28.08</v>
      </c>
      <c r="BG71" s="562">
        <v>7.39</v>
      </c>
      <c r="BH71" s="562">
        <v>9.24</v>
      </c>
      <c r="BI71" s="559">
        <v>35.47</v>
      </c>
      <c r="BJ71" s="560">
        <v>37.32</v>
      </c>
      <c r="BK71" s="561">
        <v>28.25</v>
      </c>
      <c r="BL71" s="562">
        <v>7.39</v>
      </c>
      <c r="BM71" s="562">
        <v>9.24</v>
      </c>
      <c r="BN71" s="559">
        <v>35.64</v>
      </c>
      <c r="BO71" s="560">
        <v>37.49</v>
      </c>
      <c r="BP71" s="561">
        <v>28.43</v>
      </c>
      <c r="BQ71" s="562">
        <v>7.39</v>
      </c>
      <c r="BR71" s="562">
        <v>9.24</v>
      </c>
      <c r="BS71" s="559">
        <v>35.82</v>
      </c>
      <c r="BT71" s="560">
        <v>37.67</v>
      </c>
      <c r="BU71" s="561">
        <v>28.61</v>
      </c>
      <c r="BV71" s="562">
        <v>7.39</v>
      </c>
      <c r="BW71" s="562">
        <v>9.24</v>
      </c>
      <c r="BX71" s="559">
        <v>36</v>
      </c>
      <c r="BY71" s="560">
        <v>37.85</v>
      </c>
      <c r="BZ71" s="561">
        <v>28.79</v>
      </c>
      <c r="CA71" s="562">
        <v>7.39</v>
      </c>
      <c r="CB71" s="562">
        <v>9.24</v>
      </c>
      <c r="CC71" s="559">
        <v>36.18</v>
      </c>
      <c r="CD71" s="560">
        <v>38.03</v>
      </c>
      <c r="CE71" s="561">
        <v>28.96</v>
      </c>
      <c r="CF71" s="562">
        <v>7.39</v>
      </c>
      <c r="CG71" s="562">
        <v>9.24</v>
      </c>
      <c r="CH71" s="559">
        <v>36.35</v>
      </c>
      <c r="CI71" s="560">
        <v>38.200000000000003</v>
      </c>
      <c r="CJ71" s="13">
        <v>29.14</v>
      </c>
      <c r="CK71" s="13">
        <v>7.39</v>
      </c>
      <c r="CL71" s="13">
        <v>9.24</v>
      </c>
      <c r="CM71" s="13">
        <v>36.53</v>
      </c>
      <c r="CN71" s="13">
        <v>38.380000000000003</v>
      </c>
      <c r="CO71" s="13">
        <v>29.32</v>
      </c>
      <c r="CP71" s="13">
        <v>7.39</v>
      </c>
      <c r="CQ71" s="13">
        <v>9.24</v>
      </c>
      <c r="CR71" s="13">
        <v>36.71</v>
      </c>
      <c r="CS71" s="13">
        <v>38.56</v>
      </c>
      <c r="CT71" s="13">
        <v>29.5</v>
      </c>
      <c r="CU71" s="13">
        <v>7.39</v>
      </c>
      <c r="CV71" s="13">
        <v>9.24</v>
      </c>
      <c r="CW71" s="13">
        <v>36.89</v>
      </c>
      <c r="CX71" s="13">
        <v>38.74</v>
      </c>
      <c r="CY71" s="13">
        <v>29.67</v>
      </c>
      <c r="CZ71" s="13">
        <v>7.39</v>
      </c>
      <c r="DA71" s="13">
        <v>9.24</v>
      </c>
      <c r="DB71" s="13">
        <v>37.06</v>
      </c>
      <c r="DC71" s="13">
        <v>38.909999999999997</v>
      </c>
      <c r="DD71" s="13">
        <v>29.85</v>
      </c>
      <c r="DE71" s="13">
        <v>7.39</v>
      </c>
      <c r="DF71" s="13">
        <v>9.24</v>
      </c>
      <c r="DG71" s="13">
        <v>37.24</v>
      </c>
      <c r="DH71" s="13">
        <v>39.090000000000003</v>
      </c>
      <c r="DI71" s="13">
        <v>30.03</v>
      </c>
      <c r="DJ71" s="13">
        <v>7.39</v>
      </c>
      <c r="DK71" s="13">
        <v>9.24</v>
      </c>
      <c r="DL71" s="13">
        <v>37.42</v>
      </c>
      <c r="DM71" s="13">
        <v>39.270000000000003</v>
      </c>
      <c r="DN71" s="13">
        <v>30.21</v>
      </c>
      <c r="DO71" s="13">
        <v>7.39</v>
      </c>
      <c r="DP71" s="13">
        <v>9.24</v>
      </c>
      <c r="DQ71" s="13">
        <v>37.6</v>
      </c>
      <c r="DR71" s="13">
        <v>39.450000000000003</v>
      </c>
      <c r="DS71" s="13">
        <v>30.38</v>
      </c>
      <c r="DT71" s="13">
        <v>7.39</v>
      </c>
      <c r="DU71" s="13">
        <v>9.24</v>
      </c>
      <c r="DV71" s="13">
        <v>37.770000000000003</v>
      </c>
      <c r="DW71" s="13">
        <v>39.619999999999997</v>
      </c>
    </row>
    <row r="72" spans="1:127" s="13" customFormat="1" ht="21.75">
      <c r="A72" s="9"/>
      <c r="B72" s="11" t="s">
        <v>116</v>
      </c>
      <c r="C72" s="57" t="s">
        <v>7</v>
      </c>
      <c r="D72" s="22">
        <f t="shared" si="0"/>
        <v>36.25</v>
      </c>
      <c r="E72" s="22">
        <f t="shared" si="1"/>
        <v>9.86</v>
      </c>
      <c r="F72" s="22">
        <f t="shared" si="2"/>
        <v>12.33</v>
      </c>
      <c r="G72" s="22">
        <f t="shared" si="3"/>
        <v>46.11</v>
      </c>
      <c r="H72" s="22">
        <f t="shared" si="4"/>
        <v>48.58</v>
      </c>
      <c r="J72" s="9"/>
      <c r="K72" s="11" t="s">
        <v>116</v>
      </c>
      <c r="L72" s="63" t="s">
        <v>7</v>
      </c>
      <c r="M72" s="1371"/>
      <c r="N72" s="1372"/>
      <c r="O72" s="1372"/>
      <c r="P72" s="1369"/>
      <c r="Q72" s="1370"/>
      <c r="R72" s="1392">
        <v>35.54</v>
      </c>
      <c r="S72" s="1393">
        <v>9.86</v>
      </c>
      <c r="T72" s="1393">
        <v>12.33</v>
      </c>
      <c r="U72" s="1390">
        <f t="shared" si="9"/>
        <v>45.4</v>
      </c>
      <c r="V72" s="1391">
        <f t="shared" si="10"/>
        <v>47.87</v>
      </c>
      <c r="W72" s="561">
        <v>35.78</v>
      </c>
      <c r="X72" s="562">
        <v>9.86</v>
      </c>
      <c r="Y72" s="562">
        <v>12.33</v>
      </c>
      <c r="Z72" s="559">
        <v>45.64</v>
      </c>
      <c r="AA72" s="560">
        <v>48.11</v>
      </c>
      <c r="AB72" s="561">
        <v>36.020000000000003</v>
      </c>
      <c r="AC72" s="562">
        <v>9.86</v>
      </c>
      <c r="AD72" s="562">
        <v>12.33</v>
      </c>
      <c r="AE72" s="559">
        <v>45.88</v>
      </c>
      <c r="AF72" s="560">
        <v>48.35</v>
      </c>
      <c r="AG72" s="561">
        <v>36.25</v>
      </c>
      <c r="AH72" s="562">
        <v>9.86</v>
      </c>
      <c r="AI72" s="562">
        <v>12.33</v>
      </c>
      <c r="AJ72" s="559">
        <v>46.11</v>
      </c>
      <c r="AK72" s="560">
        <v>48.58</v>
      </c>
      <c r="AL72" s="561">
        <v>36.49</v>
      </c>
      <c r="AM72" s="562">
        <v>9.86</v>
      </c>
      <c r="AN72" s="562">
        <v>12.33</v>
      </c>
      <c r="AO72" s="559">
        <v>46.35</v>
      </c>
      <c r="AP72" s="560">
        <v>48.82</v>
      </c>
      <c r="AQ72" s="561">
        <v>36.729999999999997</v>
      </c>
      <c r="AR72" s="562">
        <v>9.86</v>
      </c>
      <c r="AS72" s="562">
        <v>12.33</v>
      </c>
      <c r="AT72" s="559">
        <v>46.59</v>
      </c>
      <c r="AU72" s="560">
        <v>49.06</v>
      </c>
      <c r="AV72" s="561">
        <v>36.96</v>
      </c>
      <c r="AW72" s="562">
        <v>9.86</v>
      </c>
      <c r="AX72" s="562">
        <v>12.33</v>
      </c>
      <c r="AY72" s="559">
        <v>46.82</v>
      </c>
      <c r="AZ72" s="560">
        <v>49.29</v>
      </c>
      <c r="BA72" s="561">
        <v>37.200000000000003</v>
      </c>
      <c r="BB72" s="562">
        <v>9.86</v>
      </c>
      <c r="BC72" s="562">
        <v>12.33</v>
      </c>
      <c r="BD72" s="559">
        <v>47.06</v>
      </c>
      <c r="BE72" s="560">
        <v>49.53</v>
      </c>
      <c r="BF72" s="561">
        <v>37.44</v>
      </c>
      <c r="BG72" s="562">
        <v>9.86</v>
      </c>
      <c r="BH72" s="562">
        <v>12.33</v>
      </c>
      <c r="BI72" s="559">
        <v>47.3</v>
      </c>
      <c r="BJ72" s="560">
        <v>47.77</v>
      </c>
      <c r="BK72" s="561">
        <v>37.67</v>
      </c>
      <c r="BL72" s="562">
        <v>9.86</v>
      </c>
      <c r="BM72" s="562">
        <v>12.33</v>
      </c>
      <c r="BN72" s="559">
        <v>47.53</v>
      </c>
      <c r="BO72" s="560">
        <v>50</v>
      </c>
      <c r="BP72" s="561">
        <v>37.909999999999997</v>
      </c>
      <c r="BQ72" s="562">
        <v>9.86</v>
      </c>
      <c r="BR72" s="562">
        <v>12.33</v>
      </c>
      <c r="BS72" s="559">
        <v>47.77</v>
      </c>
      <c r="BT72" s="560">
        <v>50.24</v>
      </c>
      <c r="BU72" s="561">
        <v>38.15</v>
      </c>
      <c r="BV72" s="562">
        <v>9.86</v>
      </c>
      <c r="BW72" s="562">
        <v>12.33</v>
      </c>
      <c r="BX72" s="559">
        <v>48.01</v>
      </c>
      <c r="BY72" s="560">
        <v>50.48</v>
      </c>
      <c r="BZ72" s="561">
        <v>38.380000000000003</v>
      </c>
      <c r="CA72" s="562">
        <v>9.86</v>
      </c>
      <c r="CB72" s="562">
        <v>12.33</v>
      </c>
      <c r="CC72" s="559">
        <v>48.24</v>
      </c>
      <c r="CD72" s="560">
        <v>50.71</v>
      </c>
      <c r="CE72" s="561">
        <v>38.619999999999997</v>
      </c>
      <c r="CF72" s="562">
        <v>9.86</v>
      </c>
      <c r="CG72" s="562">
        <v>12.33</v>
      </c>
      <c r="CH72" s="559">
        <v>48.48</v>
      </c>
      <c r="CI72" s="560">
        <v>50.95</v>
      </c>
      <c r="CJ72" s="13">
        <v>38.86</v>
      </c>
      <c r="CK72" s="13">
        <v>9.86</v>
      </c>
      <c r="CL72" s="13">
        <v>12.33</v>
      </c>
      <c r="CM72" s="13">
        <v>48.72</v>
      </c>
      <c r="CN72" s="13">
        <v>51.19</v>
      </c>
      <c r="CO72" s="13">
        <v>39.090000000000003</v>
      </c>
      <c r="CP72" s="13">
        <v>9.86</v>
      </c>
      <c r="CQ72" s="13">
        <v>12.33</v>
      </c>
      <c r="CR72" s="13">
        <v>48.95</v>
      </c>
      <c r="CS72" s="13">
        <v>51.42</v>
      </c>
      <c r="CT72" s="13">
        <v>39.33</v>
      </c>
      <c r="CU72" s="13">
        <v>9.86</v>
      </c>
      <c r="CV72" s="13">
        <v>12.33</v>
      </c>
      <c r="CW72" s="13">
        <v>49.19</v>
      </c>
      <c r="CX72" s="13">
        <v>51.66</v>
      </c>
      <c r="CY72" s="13">
        <v>39.57</v>
      </c>
      <c r="CZ72" s="13">
        <v>9.86</v>
      </c>
      <c r="DA72" s="13">
        <v>12.33</v>
      </c>
      <c r="DB72" s="13">
        <v>49.43</v>
      </c>
      <c r="DC72" s="13">
        <v>51.9</v>
      </c>
      <c r="DD72" s="13">
        <v>39.799999999999997</v>
      </c>
      <c r="DE72" s="13">
        <v>9.86</v>
      </c>
      <c r="DF72" s="13">
        <v>12.33</v>
      </c>
      <c r="DG72" s="13">
        <v>49.66</v>
      </c>
      <c r="DH72" s="13">
        <v>52.13</v>
      </c>
      <c r="DI72" s="13">
        <v>40.04</v>
      </c>
      <c r="DJ72" s="13">
        <v>9.86</v>
      </c>
      <c r="DK72" s="13">
        <v>12.33</v>
      </c>
      <c r="DL72" s="13">
        <v>49.9</v>
      </c>
      <c r="DM72" s="13">
        <v>52.37</v>
      </c>
      <c r="DN72" s="13">
        <v>40.270000000000003</v>
      </c>
      <c r="DO72" s="13">
        <v>9.86</v>
      </c>
      <c r="DP72" s="13">
        <v>12.33</v>
      </c>
      <c r="DQ72" s="13">
        <v>50.13</v>
      </c>
      <c r="DR72" s="13">
        <v>52.6</v>
      </c>
      <c r="DS72" s="13">
        <v>40.51</v>
      </c>
      <c r="DT72" s="13">
        <v>9.86</v>
      </c>
      <c r="DU72" s="13">
        <v>12.33</v>
      </c>
      <c r="DV72" s="13">
        <v>50.37</v>
      </c>
      <c r="DW72" s="13">
        <v>52.84</v>
      </c>
    </row>
    <row r="73" spans="1:127" s="13" customFormat="1" ht="21.75">
      <c r="A73" s="9"/>
      <c r="B73" s="11" t="s">
        <v>743</v>
      </c>
      <c r="C73" s="57" t="s">
        <v>7</v>
      </c>
      <c r="D73" s="22">
        <f t="shared" ref="D73:D83" si="11">IF($G$3=$Q$2,M73,IF($G$3=$V$2,R73,IF($G$3=$AA$2,W73,IF($G$3=$AF$2,AB73,IF($G$3=$AK$2,AG73,IF($G$3=$AP$2,AL73,IF($G$3=$AU$2,AQ73,IF($G$3=$AZ$2,AV73,IF($G$3=$BE$2,BA73,IF($G$3=$BJ$2,BF73,IF($G$3=$BO$2,BK73,IF($G$3=$BT$2,BP73,IF($G$3=$BY$2,BU73,IF($G$3=$CD$2,BZ73,IF($G$3=$CI$2,CE73,0)))))))))))))))</f>
        <v>43.5</v>
      </c>
      <c r="E73" s="22">
        <f t="shared" ref="E73:E83" si="12">IF($G$3=$Q$2,N73,IF($G$3=$V$2,S73,IF($G$3=$AA$2,X73,IF($G$3=$AF$2,AC73,IF($G$3=$AK$2,AH73,IF($G$3=$AP$2,AM73,IF($G$3=$AU$2,AR73,IF($G$3=$AZ$2,AW73,IF($G$3=$BE$2,BB73,IF($G$3=$BJ$2,BG73,IF($G$3=$BO$2,BL73,IF($G$3=$BT$2,BQ73,IF($G$3=$BY$2,BV73,IF($G$3=$CD$2,CA73,IF($G$3=$CI$2,CF73,0)))))))))))))))</f>
        <v>11.83</v>
      </c>
      <c r="F73" s="22">
        <f t="shared" ref="F73:F83" si="13">IF($G$3=$Q$2,O73,IF($G$3=$V$2,T73,IF($G$3=$AA$2,Y73,IF($G$3=$AF$2,AD73,IF($G$3=$AK$2,AI73,IF($G$3=$AP$2,AN73,IF($G$3=$AU$2,AS73,IF($G$3=$AZ$2,AX73,IF($G$3=$BE$2,BC73,IF($G$3=$BJ$2,BH73,IF($G$3=$BO$2,BM73,IF($G$3=$BT$2,BR73,IF($G$3=$BY$2,BW73,IF($G$3=$CD$2,CB73,IF($G$3=$CI$2,CG73,0)))))))))))))))</f>
        <v>14.79</v>
      </c>
      <c r="G73" s="22">
        <f t="shared" ref="G73:G83" si="14">IF($G$3=$Q$2,P73,IF($G$3=$V$2,U73,IF($G$3=$AA$2,Z73,IF($G$3=$AF$2,AE73,IF($G$3=$AK$2,AJ73,IF($G$3=$AP$2,AO73,IF($G$3=$AU$2,AT73,IF($G$3=$AZ$2,AY73,IF($G$3=$BE$2,BD73,IF($G$3=$BJ$2,BI73,IF($G$3=$BO$2,BN73,IF($G$3=$BT$2,BS73,IF($G$3=$BY$2,BX73,IF($G$3=$CD$2,CC73,IF($G$3=$CI$2,CH73,0)))))))))))))))</f>
        <v>55.33</v>
      </c>
      <c r="H73" s="22">
        <f t="shared" ref="H73:H83" si="15">IF($G$3=$Q$2,Q73,IF($G$3=$V$2,V73,IF($G$3=$AA$2,AA73,IF($G$3=$AF$2,AF73,IF($G$3=$AK$2,AK73,IF($G$3=$AP$2,AP73,IF($G$3=$AU$2,AU73,IF($G$3=$AZ$2,AZ73,IF($G$3=$BE$2,BE73,IF($G$3=$BJ$2,BJ73,IF($G$3=$BO$2,BO73,IF($G$3=$BT$2,BT73,IF($G$3=$BY$2,BY73,IF($G$3=$CD$2,CD73,IF($G$3=$CI$2,CI73,0)))))))))))))))</f>
        <v>58.29</v>
      </c>
      <c r="J73" s="9"/>
      <c r="K73" s="11" t="s">
        <v>743</v>
      </c>
      <c r="L73" s="63" t="s">
        <v>7</v>
      </c>
      <c r="M73" s="1371"/>
      <c r="N73" s="1372"/>
      <c r="O73" s="1372"/>
      <c r="P73" s="1369"/>
      <c r="Q73" s="1370"/>
      <c r="R73" s="1392">
        <v>42.65</v>
      </c>
      <c r="S73" s="1393">
        <v>11.83</v>
      </c>
      <c r="T73" s="1393">
        <v>14.79</v>
      </c>
      <c r="U73" s="1390">
        <f t="shared" si="9"/>
        <v>54.48</v>
      </c>
      <c r="V73" s="1391">
        <f t="shared" si="10"/>
        <v>57.44</v>
      </c>
      <c r="W73" s="561">
        <v>42.94</v>
      </c>
      <c r="X73" s="562">
        <v>11.83</v>
      </c>
      <c r="Y73" s="562">
        <v>14.79</v>
      </c>
      <c r="Z73" s="559">
        <v>54.77</v>
      </c>
      <c r="AA73" s="560">
        <v>57.73</v>
      </c>
      <c r="AB73" s="561">
        <v>43.22</v>
      </c>
      <c r="AC73" s="562">
        <v>11.83</v>
      </c>
      <c r="AD73" s="562">
        <v>14.79</v>
      </c>
      <c r="AE73" s="559">
        <v>55.05</v>
      </c>
      <c r="AF73" s="560">
        <v>58.01</v>
      </c>
      <c r="AG73" s="561">
        <v>43.5</v>
      </c>
      <c r="AH73" s="562">
        <v>11.83</v>
      </c>
      <c r="AI73" s="562">
        <v>14.79</v>
      </c>
      <c r="AJ73" s="559">
        <v>55.33</v>
      </c>
      <c r="AK73" s="560">
        <v>58.29</v>
      </c>
      <c r="AL73" s="561">
        <v>43.79</v>
      </c>
      <c r="AM73" s="562">
        <v>11.83</v>
      </c>
      <c r="AN73" s="562">
        <v>14.79</v>
      </c>
      <c r="AO73" s="559">
        <v>55.62</v>
      </c>
      <c r="AP73" s="560">
        <v>58.58</v>
      </c>
      <c r="AQ73" s="561">
        <v>44.07</v>
      </c>
      <c r="AR73" s="562">
        <v>11.83</v>
      </c>
      <c r="AS73" s="562">
        <v>14.79</v>
      </c>
      <c r="AT73" s="559">
        <v>55.9</v>
      </c>
      <c r="AU73" s="560">
        <v>58.86</v>
      </c>
      <c r="AV73" s="561">
        <v>44.36</v>
      </c>
      <c r="AW73" s="562">
        <v>11.83</v>
      </c>
      <c r="AX73" s="562">
        <v>14.79</v>
      </c>
      <c r="AY73" s="559">
        <v>56.19</v>
      </c>
      <c r="AZ73" s="560">
        <v>59.15</v>
      </c>
      <c r="BA73" s="561">
        <v>44.64</v>
      </c>
      <c r="BB73" s="562">
        <v>11.83</v>
      </c>
      <c r="BC73" s="562">
        <v>14.79</v>
      </c>
      <c r="BD73" s="559">
        <v>56.47</v>
      </c>
      <c r="BE73" s="560">
        <v>59.43</v>
      </c>
      <c r="BF73" s="561">
        <v>44.92</v>
      </c>
      <c r="BG73" s="562">
        <v>11.83</v>
      </c>
      <c r="BH73" s="562">
        <v>14.79</v>
      </c>
      <c r="BI73" s="559">
        <v>56.75</v>
      </c>
      <c r="BJ73" s="560">
        <v>59.71</v>
      </c>
      <c r="BK73" s="561">
        <v>45.21</v>
      </c>
      <c r="BL73" s="562">
        <v>11.83</v>
      </c>
      <c r="BM73" s="562">
        <v>14.79</v>
      </c>
      <c r="BN73" s="559">
        <v>57.04</v>
      </c>
      <c r="BO73" s="560">
        <v>60</v>
      </c>
      <c r="BP73" s="561">
        <v>45.49</v>
      </c>
      <c r="BQ73" s="562">
        <v>11.83</v>
      </c>
      <c r="BR73" s="562">
        <v>14.79</v>
      </c>
      <c r="BS73" s="559">
        <v>57.32</v>
      </c>
      <c r="BT73" s="560">
        <v>60.28</v>
      </c>
      <c r="BU73" s="561">
        <v>45.77</v>
      </c>
      <c r="BV73" s="562">
        <v>11.83</v>
      </c>
      <c r="BW73" s="562">
        <v>14.79</v>
      </c>
      <c r="BX73" s="559">
        <v>57.6</v>
      </c>
      <c r="BY73" s="560">
        <v>60.56</v>
      </c>
      <c r="BZ73" s="561">
        <v>46.06</v>
      </c>
      <c r="CA73" s="562">
        <v>11.83</v>
      </c>
      <c r="CB73" s="562">
        <v>14.79</v>
      </c>
      <c r="CC73" s="559">
        <v>57.89</v>
      </c>
      <c r="CD73" s="560">
        <v>60.85</v>
      </c>
      <c r="CE73" s="561">
        <v>46.34</v>
      </c>
      <c r="CF73" s="562">
        <v>11.83</v>
      </c>
      <c r="CG73" s="562">
        <v>14.79</v>
      </c>
      <c r="CH73" s="559">
        <v>58.17</v>
      </c>
      <c r="CI73" s="560">
        <v>61.13</v>
      </c>
      <c r="CJ73" s="13">
        <v>46.63</v>
      </c>
      <c r="CK73" s="13">
        <v>11.83</v>
      </c>
      <c r="CL73" s="13">
        <v>14.79</v>
      </c>
      <c r="CM73" s="13">
        <v>58.46</v>
      </c>
      <c r="CN73" s="13">
        <v>61.42</v>
      </c>
      <c r="CO73" s="13">
        <v>46.91</v>
      </c>
      <c r="CP73" s="13">
        <v>11.83</v>
      </c>
      <c r="CQ73" s="13">
        <v>14.79</v>
      </c>
      <c r="CR73" s="13">
        <v>58.74</v>
      </c>
      <c r="CS73" s="13">
        <v>61.7</v>
      </c>
      <c r="CT73" s="13">
        <v>47.19</v>
      </c>
      <c r="CU73" s="13">
        <v>11.83</v>
      </c>
      <c r="CV73" s="13">
        <v>14.79</v>
      </c>
      <c r="CW73" s="13">
        <v>59.02</v>
      </c>
      <c r="CX73" s="13">
        <v>61.98</v>
      </c>
      <c r="CY73" s="13">
        <v>47.48</v>
      </c>
      <c r="CZ73" s="13">
        <v>11.83</v>
      </c>
      <c r="DA73" s="13">
        <v>14.79</v>
      </c>
      <c r="DB73" s="13">
        <v>59.31</v>
      </c>
      <c r="DC73" s="13">
        <v>62.27</v>
      </c>
      <c r="DD73" s="13">
        <v>47.76</v>
      </c>
      <c r="DE73" s="13">
        <v>11.83</v>
      </c>
      <c r="DF73" s="13">
        <v>14.79</v>
      </c>
      <c r="DG73" s="13">
        <v>59.59</v>
      </c>
      <c r="DH73" s="13">
        <v>62.55</v>
      </c>
      <c r="DI73" s="13">
        <v>48.05</v>
      </c>
      <c r="DJ73" s="13">
        <v>11.83</v>
      </c>
      <c r="DK73" s="13">
        <v>14.79</v>
      </c>
      <c r="DL73" s="13">
        <v>59.88</v>
      </c>
      <c r="DM73" s="13">
        <v>62.84</v>
      </c>
      <c r="DN73" s="13">
        <v>48.33</v>
      </c>
      <c r="DO73" s="13">
        <v>11.83</v>
      </c>
      <c r="DP73" s="13">
        <v>14.79</v>
      </c>
      <c r="DQ73" s="13">
        <v>60.16</v>
      </c>
      <c r="DR73" s="13">
        <v>63.12</v>
      </c>
      <c r="DS73" s="13">
        <v>48.61</v>
      </c>
      <c r="DT73" s="13">
        <v>11.83</v>
      </c>
      <c r="DU73" s="13">
        <v>14.79</v>
      </c>
      <c r="DV73" s="13">
        <v>60.44</v>
      </c>
      <c r="DW73" s="13">
        <v>63.4</v>
      </c>
    </row>
    <row r="74" spans="1:127" s="13" customFormat="1" ht="21.75">
      <c r="A74" s="9">
        <v>17</v>
      </c>
      <c r="B74" s="11" t="s">
        <v>117</v>
      </c>
      <c r="C74" s="57" t="s">
        <v>7</v>
      </c>
      <c r="D74" s="22">
        <f t="shared" si="11"/>
        <v>8.89</v>
      </c>
      <c r="E74" s="22">
        <f t="shared" si="12"/>
        <v>2.0699999999999998</v>
      </c>
      <c r="F74" s="22">
        <f t="shared" si="13"/>
        <v>2.59</v>
      </c>
      <c r="G74" s="22">
        <f t="shared" si="14"/>
        <v>10.96</v>
      </c>
      <c r="H74" s="22">
        <f t="shared" si="15"/>
        <v>11.48</v>
      </c>
      <c r="J74" s="9">
        <v>17</v>
      </c>
      <c r="K74" s="11" t="s">
        <v>117</v>
      </c>
      <c r="L74" s="63" t="s">
        <v>7</v>
      </c>
      <c r="M74" s="1371"/>
      <c r="N74" s="1372"/>
      <c r="O74" s="1372"/>
      <c r="P74" s="1369"/>
      <c r="Q74" s="1370"/>
      <c r="R74" s="1392">
        <v>8.3699999999999992</v>
      </c>
      <c r="S74" s="1393">
        <v>2.0699999999999998</v>
      </c>
      <c r="T74" s="1393">
        <v>2.59</v>
      </c>
      <c r="U74" s="1390">
        <f t="shared" si="9"/>
        <v>10.44</v>
      </c>
      <c r="V74" s="1391">
        <f t="shared" si="10"/>
        <v>10.959999999999999</v>
      </c>
      <c r="W74" s="561">
        <v>8.5500000000000007</v>
      </c>
      <c r="X74" s="562">
        <v>2.0699999999999998</v>
      </c>
      <c r="Y74" s="562">
        <v>2.59</v>
      </c>
      <c r="Z74" s="559">
        <v>10.62</v>
      </c>
      <c r="AA74" s="560">
        <v>11.14</v>
      </c>
      <c r="AB74" s="561">
        <v>8.7200000000000006</v>
      </c>
      <c r="AC74" s="562">
        <v>2.0699999999999998</v>
      </c>
      <c r="AD74" s="562">
        <v>2.59</v>
      </c>
      <c r="AE74" s="559">
        <v>10.79</v>
      </c>
      <c r="AF74" s="560">
        <v>11.31</v>
      </c>
      <c r="AG74" s="561">
        <v>8.89</v>
      </c>
      <c r="AH74" s="562">
        <v>2.0699999999999998</v>
      </c>
      <c r="AI74" s="562">
        <v>2.59</v>
      </c>
      <c r="AJ74" s="559">
        <v>10.96</v>
      </c>
      <c r="AK74" s="560">
        <v>11.48</v>
      </c>
      <c r="AL74" s="561">
        <v>9.06</v>
      </c>
      <c r="AM74" s="562">
        <v>2.0699999999999998</v>
      </c>
      <c r="AN74" s="562">
        <v>2.59</v>
      </c>
      <c r="AO74" s="559">
        <v>11.13</v>
      </c>
      <c r="AP74" s="560">
        <v>11.65</v>
      </c>
      <c r="AQ74" s="561">
        <v>9.24</v>
      </c>
      <c r="AR74" s="562">
        <v>2.0699999999999998</v>
      </c>
      <c r="AS74" s="562">
        <v>2.59</v>
      </c>
      <c r="AT74" s="559">
        <v>11.31</v>
      </c>
      <c r="AU74" s="560">
        <v>11.83</v>
      </c>
      <c r="AV74" s="561">
        <v>9.41</v>
      </c>
      <c r="AW74" s="562">
        <v>2.0699999999999998</v>
      </c>
      <c r="AX74" s="562">
        <v>2.59</v>
      </c>
      <c r="AY74" s="559">
        <v>11.48</v>
      </c>
      <c r="AZ74" s="560">
        <v>12</v>
      </c>
      <c r="BA74" s="561">
        <v>9.58</v>
      </c>
      <c r="BB74" s="562">
        <v>2.0699999999999998</v>
      </c>
      <c r="BC74" s="562">
        <v>2.59</v>
      </c>
      <c r="BD74" s="559">
        <v>11.65</v>
      </c>
      <c r="BE74" s="560">
        <v>12.17</v>
      </c>
      <c r="BF74" s="561">
        <v>9.76</v>
      </c>
      <c r="BG74" s="562">
        <v>2.0699999999999998</v>
      </c>
      <c r="BH74" s="562">
        <v>2.59</v>
      </c>
      <c r="BI74" s="559">
        <v>11.83</v>
      </c>
      <c r="BJ74" s="560">
        <v>12.35</v>
      </c>
      <c r="BK74" s="561">
        <v>9.93</v>
      </c>
      <c r="BL74" s="562">
        <v>2.0699999999999998</v>
      </c>
      <c r="BM74" s="562">
        <v>2.59</v>
      </c>
      <c r="BN74" s="559">
        <v>12</v>
      </c>
      <c r="BO74" s="560">
        <v>12.52</v>
      </c>
      <c r="BP74" s="561">
        <v>10.1</v>
      </c>
      <c r="BQ74" s="562">
        <v>2.0699999999999998</v>
      </c>
      <c r="BR74" s="562">
        <v>2.59</v>
      </c>
      <c r="BS74" s="559">
        <v>12.17</v>
      </c>
      <c r="BT74" s="560">
        <v>12.69</v>
      </c>
      <c r="BU74" s="561">
        <v>10.27</v>
      </c>
      <c r="BV74" s="562">
        <v>2.0699999999999998</v>
      </c>
      <c r="BW74" s="562">
        <v>2.59</v>
      </c>
      <c r="BX74" s="559">
        <v>12.34</v>
      </c>
      <c r="BY74" s="560">
        <v>12.86</v>
      </c>
      <c r="BZ74" s="561">
        <v>10.45</v>
      </c>
      <c r="CA74" s="562">
        <v>2.0699999999999998</v>
      </c>
      <c r="CB74" s="562">
        <v>2.59</v>
      </c>
      <c r="CC74" s="559">
        <v>12.52</v>
      </c>
      <c r="CD74" s="560">
        <v>13.04</v>
      </c>
      <c r="CE74" s="561">
        <v>10.62</v>
      </c>
      <c r="CF74" s="562">
        <v>2.0699999999999998</v>
      </c>
      <c r="CG74" s="562">
        <v>2.59</v>
      </c>
      <c r="CH74" s="559">
        <v>12.69</v>
      </c>
      <c r="CI74" s="560">
        <v>13.21</v>
      </c>
      <c r="CJ74" s="13">
        <v>10.79</v>
      </c>
      <c r="CK74" s="13">
        <v>2.0699999999999998</v>
      </c>
      <c r="CL74" s="13">
        <v>2.59</v>
      </c>
      <c r="CM74" s="13">
        <v>12.86</v>
      </c>
      <c r="CN74" s="13">
        <v>13.38</v>
      </c>
      <c r="CO74" s="13">
        <v>10.96</v>
      </c>
      <c r="CP74" s="13">
        <v>2.0699999999999998</v>
      </c>
      <c r="CQ74" s="13">
        <v>2.59</v>
      </c>
      <c r="CR74" s="13">
        <v>13.03</v>
      </c>
      <c r="CS74" s="13">
        <v>13.55</v>
      </c>
      <c r="CT74" s="13">
        <v>11.14</v>
      </c>
      <c r="CU74" s="13">
        <v>2.0699999999999998</v>
      </c>
      <c r="CV74" s="13">
        <v>2.59</v>
      </c>
      <c r="CW74" s="13">
        <v>13.21</v>
      </c>
      <c r="CX74" s="13">
        <v>13.73</v>
      </c>
      <c r="CY74" s="13">
        <v>11.31</v>
      </c>
      <c r="CZ74" s="13">
        <v>2.0699999999999998</v>
      </c>
      <c r="DA74" s="13">
        <v>2.59</v>
      </c>
      <c r="DB74" s="13">
        <v>13.38</v>
      </c>
      <c r="DC74" s="13">
        <v>13.9</v>
      </c>
      <c r="DD74" s="13">
        <v>11.48</v>
      </c>
      <c r="DE74" s="13">
        <v>2.0699999999999998</v>
      </c>
      <c r="DF74" s="13">
        <v>2.59</v>
      </c>
      <c r="DG74" s="13">
        <v>13.55</v>
      </c>
      <c r="DH74" s="13">
        <v>14.07</v>
      </c>
      <c r="DI74" s="13">
        <v>11.65</v>
      </c>
      <c r="DJ74" s="13">
        <v>2.0699999999999998</v>
      </c>
      <c r="DK74" s="13">
        <v>2.59</v>
      </c>
      <c r="DL74" s="13">
        <v>13.72</v>
      </c>
      <c r="DM74" s="13">
        <v>14.24</v>
      </c>
      <c r="DN74" s="13">
        <v>11.83</v>
      </c>
      <c r="DO74" s="13">
        <v>2.0699999999999998</v>
      </c>
      <c r="DP74" s="13">
        <v>2.59</v>
      </c>
      <c r="DQ74" s="13">
        <v>13.9</v>
      </c>
      <c r="DR74" s="13">
        <v>14.42</v>
      </c>
      <c r="DS74" s="13">
        <v>12</v>
      </c>
      <c r="DT74" s="13">
        <v>2.0699999999999998</v>
      </c>
      <c r="DU74" s="13">
        <v>2.59</v>
      </c>
      <c r="DV74" s="13">
        <v>14.07</v>
      </c>
      <c r="DW74" s="13">
        <v>14.59</v>
      </c>
    </row>
    <row r="75" spans="1:127" s="13" customFormat="1" ht="21.75">
      <c r="A75" s="9">
        <v>18</v>
      </c>
      <c r="B75" s="11" t="s">
        <v>118</v>
      </c>
      <c r="C75" s="57" t="s">
        <v>7</v>
      </c>
      <c r="D75" s="22">
        <f t="shared" si="11"/>
        <v>2.0099999999999998</v>
      </c>
      <c r="E75" s="22">
        <f t="shared" si="12"/>
        <v>30.39</v>
      </c>
      <c r="F75" s="22">
        <f t="shared" si="13"/>
        <v>0.49</v>
      </c>
      <c r="G75" s="22">
        <f t="shared" si="14"/>
        <v>2.4</v>
      </c>
      <c r="H75" s="22">
        <f t="shared" si="15"/>
        <v>2.5</v>
      </c>
      <c r="J75" s="9">
        <v>18</v>
      </c>
      <c r="K75" s="11" t="s">
        <v>118</v>
      </c>
      <c r="L75" s="63" t="s">
        <v>7</v>
      </c>
      <c r="M75" s="1371"/>
      <c r="N75" s="1372"/>
      <c r="O75" s="1372"/>
      <c r="P75" s="1369"/>
      <c r="Q75" s="1370"/>
      <c r="R75" s="1392">
        <v>1.87</v>
      </c>
      <c r="S75" s="1393">
        <v>0.39</v>
      </c>
      <c r="T75" s="1393">
        <v>0.49</v>
      </c>
      <c r="U75" s="1390">
        <f t="shared" si="9"/>
        <v>2.2600000000000002</v>
      </c>
      <c r="V75" s="1391">
        <f t="shared" si="10"/>
        <v>2.3600000000000003</v>
      </c>
      <c r="W75" s="561">
        <v>1.92</v>
      </c>
      <c r="X75" s="562">
        <v>0.39</v>
      </c>
      <c r="Y75" s="562">
        <v>0.49</v>
      </c>
      <c r="Z75" s="559">
        <v>2.31</v>
      </c>
      <c r="AA75" s="560">
        <v>2.41</v>
      </c>
      <c r="AB75" s="561">
        <v>1.96</v>
      </c>
      <c r="AC75" s="562">
        <v>0.39</v>
      </c>
      <c r="AD75" s="562">
        <v>0.49</v>
      </c>
      <c r="AE75" s="559">
        <v>2.35</v>
      </c>
      <c r="AF75" s="560">
        <v>2.4500000000000002</v>
      </c>
      <c r="AG75" s="561">
        <v>2.0099999999999998</v>
      </c>
      <c r="AH75" s="562">
        <v>30.39</v>
      </c>
      <c r="AI75" s="562">
        <v>0.49</v>
      </c>
      <c r="AJ75" s="559">
        <v>2.4</v>
      </c>
      <c r="AK75" s="560">
        <v>2.5</v>
      </c>
      <c r="AL75" s="561">
        <v>2.0499999999999998</v>
      </c>
      <c r="AM75" s="562">
        <v>0.39</v>
      </c>
      <c r="AN75" s="562">
        <v>0.49</v>
      </c>
      <c r="AO75" s="559">
        <v>2.44</v>
      </c>
      <c r="AP75" s="560">
        <v>2.54</v>
      </c>
      <c r="AQ75" s="561">
        <v>2.09</v>
      </c>
      <c r="AR75" s="562">
        <v>0.39</v>
      </c>
      <c r="AS75" s="562">
        <v>0.49</v>
      </c>
      <c r="AT75" s="559">
        <v>2.48</v>
      </c>
      <c r="AU75" s="560">
        <v>2.58</v>
      </c>
      <c r="AV75" s="561">
        <v>2.14</v>
      </c>
      <c r="AW75" s="562">
        <v>0.39</v>
      </c>
      <c r="AX75" s="562">
        <v>0.49</v>
      </c>
      <c r="AY75" s="559">
        <v>2.5299999999999998</v>
      </c>
      <c r="AZ75" s="560">
        <v>2.63</v>
      </c>
      <c r="BA75" s="561">
        <v>2.1800000000000002</v>
      </c>
      <c r="BB75" s="562">
        <v>0.39</v>
      </c>
      <c r="BC75" s="562">
        <v>0.49</v>
      </c>
      <c r="BD75" s="559">
        <v>2.57</v>
      </c>
      <c r="BE75" s="560">
        <v>2.67</v>
      </c>
      <c r="BF75" s="561">
        <v>2.23</v>
      </c>
      <c r="BG75" s="562">
        <v>0.39</v>
      </c>
      <c r="BH75" s="562">
        <v>0.49</v>
      </c>
      <c r="BI75" s="559">
        <v>2.62</v>
      </c>
      <c r="BJ75" s="560">
        <v>2.72</v>
      </c>
      <c r="BK75" s="561">
        <v>2.27</v>
      </c>
      <c r="BL75" s="562">
        <v>0.39</v>
      </c>
      <c r="BM75" s="562">
        <v>0.49</v>
      </c>
      <c r="BN75" s="559">
        <v>2.66</v>
      </c>
      <c r="BO75" s="560">
        <v>2.76</v>
      </c>
      <c r="BP75" s="561">
        <v>2.31</v>
      </c>
      <c r="BQ75" s="562">
        <v>0.39</v>
      </c>
      <c r="BR75" s="562">
        <v>0.49</v>
      </c>
      <c r="BS75" s="559">
        <v>2.7</v>
      </c>
      <c r="BT75" s="560">
        <v>2.8</v>
      </c>
      <c r="BU75" s="561">
        <v>2.36</v>
      </c>
      <c r="BV75" s="562">
        <v>0.39</v>
      </c>
      <c r="BW75" s="562">
        <v>0.49</v>
      </c>
      <c r="BX75" s="559">
        <v>2.75</v>
      </c>
      <c r="BY75" s="560">
        <v>2.85</v>
      </c>
      <c r="BZ75" s="561">
        <v>2.4</v>
      </c>
      <c r="CA75" s="562">
        <v>0.39</v>
      </c>
      <c r="CB75" s="562">
        <v>0.49</v>
      </c>
      <c r="CC75" s="559">
        <v>2.79</v>
      </c>
      <c r="CD75" s="560">
        <v>2.89</v>
      </c>
      <c r="CE75" s="561">
        <v>2.4500000000000002</v>
      </c>
      <c r="CF75" s="562">
        <v>0.39</v>
      </c>
      <c r="CG75" s="562">
        <v>0.49</v>
      </c>
      <c r="CH75" s="559">
        <v>2.84</v>
      </c>
      <c r="CI75" s="560">
        <v>2.94</v>
      </c>
      <c r="CJ75" s="13">
        <v>2.4900000000000002</v>
      </c>
      <c r="CK75" s="13">
        <v>0.39</v>
      </c>
      <c r="CL75" s="13">
        <v>0.49</v>
      </c>
      <c r="CM75" s="13">
        <v>2.88</v>
      </c>
      <c r="CN75" s="13">
        <v>2.98</v>
      </c>
      <c r="CO75" s="13">
        <v>2.5299999999999998</v>
      </c>
      <c r="CP75" s="13">
        <v>0.39</v>
      </c>
      <c r="CQ75" s="13">
        <v>0.49</v>
      </c>
      <c r="CR75" s="13">
        <v>2.92</v>
      </c>
      <c r="CS75" s="13">
        <v>3.02</v>
      </c>
      <c r="CT75" s="13">
        <v>2.58</v>
      </c>
      <c r="CU75" s="13">
        <v>0.39</v>
      </c>
      <c r="CV75" s="13">
        <v>0.49</v>
      </c>
      <c r="CW75" s="13">
        <v>2.97</v>
      </c>
      <c r="CX75" s="13">
        <v>3.07</v>
      </c>
      <c r="CY75" s="13">
        <v>2.62</v>
      </c>
      <c r="CZ75" s="13">
        <v>0.39</v>
      </c>
      <c r="DA75" s="13">
        <v>0.49</v>
      </c>
      <c r="DB75" s="13">
        <v>3.01</v>
      </c>
      <c r="DC75" s="13">
        <v>3.11</v>
      </c>
      <c r="DD75" s="13">
        <v>2.66</v>
      </c>
      <c r="DE75" s="13">
        <v>0.39</v>
      </c>
      <c r="DF75" s="13">
        <v>0.49</v>
      </c>
      <c r="DG75" s="13">
        <v>6.05</v>
      </c>
      <c r="DH75" s="13">
        <v>3.15</v>
      </c>
      <c r="DI75" s="13">
        <v>2.71</v>
      </c>
      <c r="DJ75" s="13">
        <v>0.39</v>
      </c>
      <c r="DK75" s="13">
        <v>0.49</v>
      </c>
      <c r="DL75" s="13">
        <v>3.1</v>
      </c>
      <c r="DM75" s="13">
        <v>3.2</v>
      </c>
      <c r="DN75" s="13">
        <v>2.75</v>
      </c>
      <c r="DO75" s="13">
        <v>0.39</v>
      </c>
      <c r="DP75" s="13">
        <v>0.49</v>
      </c>
      <c r="DQ75" s="13">
        <v>3.14</v>
      </c>
      <c r="DR75" s="13">
        <v>3.24</v>
      </c>
      <c r="DS75" s="13">
        <v>2.8</v>
      </c>
      <c r="DT75" s="13">
        <v>0.39</v>
      </c>
      <c r="DU75" s="13">
        <v>0.49</v>
      </c>
      <c r="DV75" s="13">
        <v>3.19</v>
      </c>
      <c r="DW75" s="13">
        <v>3.29</v>
      </c>
    </row>
    <row r="76" spans="1:127" s="13" customFormat="1" ht="21.75">
      <c r="A76" s="9">
        <v>19</v>
      </c>
      <c r="B76" s="11" t="s">
        <v>119</v>
      </c>
      <c r="C76" s="57"/>
      <c r="D76" s="22"/>
      <c r="E76" s="22"/>
      <c r="F76" s="22"/>
      <c r="G76" s="22"/>
      <c r="H76" s="22"/>
      <c r="J76" s="9">
        <v>19</v>
      </c>
      <c r="K76" s="11" t="s">
        <v>119</v>
      </c>
      <c r="L76" s="63"/>
      <c r="M76" s="1371"/>
      <c r="N76" s="1372"/>
      <c r="O76" s="1372"/>
      <c r="P76" s="1372"/>
      <c r="Q76" s="1373"/>
      <c r="R76" s="1392"/>
      <c r="S76" s="1393"/>
      <c r="T76" s="1393"/>
      <c r="U76" s="1393"/>
      <c r="V76" s="1394"/>
      <c r="W76" s="561"/>
      <c r="X76" s="562"/>
      <c r="Y76" s="562"/>
      <c r="Z76" s="562"/>
      <c r="AA76" s="563"/>
      <c r="AB76" s="561"/>
      <c r="AC76" s="562"/>
      <c r="AD76" s="562"/>
      <c r="AE76" s="562"/>
      <c r="AF76" s="563"/>
      <c r="AG76" s="561"/>
      <c r="AH76" s="562"/>
      <c r="AI76" s="562"/>
      <c r="AJ76" s="562"/>
      <c r="AK76" s="563"/>
      <c r="AL76" s="561"/>
      <c r="AM76" s="562"/>
      <c r="AN76" s="562"/>
      <c r="AO76" s="562"/>
      <c r="AP76" s="563"/>
      <c r="AQ76" s="561"/>
      <c r="AR76" s="562"/>
      <c r="AS76" s="562"/>
      <c r="AT76" s="562"/>
      <c r="AU76" s="563"/>
      <c r="AV76" s="561"/>
      <c r="AW76" s="562"/>
      <c r="AX76" s="562"/>
      <c r="AY76" s="562"/>
      <c r="AZ76" s="563"/>
      <c r="BA76" s="561"/>
      <c r="BB76" s="562"/>
      <c r="BC76" s="562"/>
      <c r="BD76" s="562"/>
      <c r="BE76" s="563"/>
      <c r="BF76" s="561"/>
      <c r="BG76" s="562"/>
      <c r="BH76" s="562"/>
      <c r="BI76" s="562"/>
      <c r="BJ76" s="563"/>
      <c r="BK76" s="561"/>
      <c r="BL76" s="562"/>
      <c r="BM76" s="562"/>
      <c r="BN76" s="562"/>
      <c r="BO76" s="563"/>
      <c r="BP76" s="561"/>
      <c r="BQ76" s="562"/>
      <c r="BR76" s="562"/>
      <c r="BS76" s="562"/>
      <c r="BT76" s="563"/>
      <c r="BU76" s="561"/>
      <c r="BV76" s="562"/>
      <c r="BW76" s="562"/>
      <c r="BX76" s="562"/>
      <c r="BY76" s="563"/>
      <c r="BZ76" s="561"/>
      <c r="CA76" s="562"/>
      <c r="CB76" s="562"/>
      <c r="CC76" s="562"/>
      <c r="CD76" s="563"/>
      <c r="CE76" s="561"/>
      <c r="CF76" s="562"/>
      <c r="CG76" s="562"/>
      <c r="CH76" s="562"/>
      <c r="CI76" s="563"/>
    </row>
    <row r="77" spans="1:127" s="13" customFormat="1" ht="21.75">
      <c r="A77" s="9"/>
      <c r="B77" s="11" t="s">
        <v>120</v>
      </c>
      <c r="C77" s="57" t="s">
        <v>7</v>
      </c>
      <c r="D77" s="22">
        <f t="shared" si="11"/>
        <v>41.8</v>
      </c>
      <c r="E77" s="22">
        <f t="shared" si="12"/>
        <v>5.86</v>
      </c>
      <c r="F77" s="22">
        <f t="shared" si="13"/>
        <v>7.33</v>
      </c>
      <c r="G77" s="22">
        <f t="shared" si="14"/>
        <v>47.66</v>
      </c>
      <c r="H77" s="22">
        <f t="shared" si="15"/>
        <v>49.13</v>
      </c>
      <c r="J77" s="9"/>
      <c r="K77" s="11" t="s">
        <v>120</v>
      </c>
      <c r="L77" s="63" t="s">
        <v>7</v>
      </c>
      <c r="M77" s="1371"/>
      <c r="N77" s="1372"/>
      <c r="O77" s="1372"/>
      <c r="P77" s="1369"/>
      <c r="Q77" s="1370"/>
      <c r="R77" s="1392">
        <v>40.83</v>
      </c>
      <c r="S77" s="1393">
        <v>5.86</v>
      </c>
      <c r="T77" s="1393">
        <v>7.33</v>
      </c>
      <c r="U77" s="1390">
        <f>R77+S77</f>
        <v>46.69</v>
      </c>
      <c r="V77" s="1391">
        <f>R77+T77</f>
        <v>48.16</v>
      </c>
      <c r="W77" s="561">
        <v>41.16</v>
      </c>
      <c r="X77" s="562">
        <v>5.86</v>
      </c>
      <c r="Y77" s="562">
        <v>7.33</v>
      </c>
      <c r="Z77" s="559">
        <v>47.02</v>
      </c>
      <c r="AA77" s="560">
        <v>48.49</v>
      </c>
      <c r="AB77" s="561">
        <v>41.48</v>
      </c>
      <c r="AC77" s="562">
        <v>5.86</v>
      </c>
      <c r="AD77" s="562">
        <v>7.33</v>
      </c>
      <c r="AE77" s="559">
        <v>47.34</v>
      </c>
      <c r="AF77" s="560">
        <v>48.81</v>
      </c>
      <c r="AG77" s="561">
        <v>41.8</v>
      </c>
      <c r="AH77" s="562">
        <v>5.86</v>
      </c>
      <c r="AI77" s="562">
        <v>7.33</v>
      </c>
      <c r="AJ77" s="559">
        <v>47.66</v>
      </c>
      <c r="AK77" s="560">
        <v>49.13</v>
      </c>
      <c r="AL77" s="561">
        <v>42.13</v>
      </c>
      <c r="AM77" s="562">
        <v>5.86</v>
      </c>
      <c r="AN77" s="562">
        <v>7.33</v>
      </c>
      <c r="AO77" s="559">
        <v>47.99</v>
      </c>
      <c r="AP77" s="560">
        <v>49.46</v>
      </c>
      <c r="AQ77" s="561">
        <v>42.45</v>
      </c>
      <c r="AR77" s="562">
        <v>5.86</v>
      </c>
      <c r="AS77" s="562">
        <v>7.33</v>
      </c>
      <c r="AT77" s="559">
        <v>48.31</v>
      </c>
      <c r="AU77" s="560">
        <v>49.78</v>
      </c>
      <c r="AV77" s="561">
        <v>42.77</v>
      </c>
      <c r="AW77" s="562">
        <v>5.86</v>
      </c>
      <c r="AX77" s="562">
        <v>7.33</v>
      </c>
      <c r="AY77" s="559">
        <v>48.63</v>
      </c>
      <c r="AZ77" s="560">
        <v>50.1</v>
      </c>
      <c r="BA77" s="561">
        <v>43.1</v>
      </c>
      <c r="BB77" s="562">
        <v>5.86</v>
      </c>
      <c r="BC77" s="562">
        <v>7.33</v>
      </c>
      <c r="BD77" s="559">
        <v>48.96</v>
      </c>
      <c r="BE77" s="560">
        <v>50.43</v>
      </c>
      <c r="BF77" s="561">
        <v>43.42</v>
      </c>
      <c r="BG77" s="562">
        <v>5.86</v>
      </c>
      <c r="BH77" s="562">
        <v>7.33</v>
      </c>
      <c r="BI77" s="559">
        <v>49.28</v>
      </c>
      <c r="BJ77" s="560">
        <v>50.75</v>
      </c>
      <c r="BK77" s="561">
        <v>43.74</v>
      </c>
      <c r="BL77" s="562">
        <v>5.86</v>
      </c>
      <c r="BM77" s="562">
        <v>7.33</v>
      </c>
      <c r="BN77" s="559">
        <v>49.6</v>
      </c>
      <c r="BO77" s="560">
        <v>51.07</v>
      </c>
      <c r="BP77" s="561">
        <v>44.07</v>
      </c>
      <c r="BQ77" s="562">
        <v>5.86</v>
      </c>
      <c r="BR77" s="562">
        <v>7.33</v>
      </c>
      <c r="BS77" s="559">
        <v>49.93</v>
      </c>
      <c r="BT77" s="560">
        <v>51.4</v>
      </c>
      <c r="BU77" s="561">
        <v>44.39</v>
      </c>
      <c r="BV77" s="562">
        <v>5.86</v>
      </c>
      <c r="BW77" s="562">
        <v>7.33</v>
      </c>
      <c r="BX77" s="559">
        <v>50.25</v>
      </c>
      <c r="BY77" s="560">
        <v>51.72</v>
      </c>
      <c r="BZ77" s="561">
        <v>44.71</v>
      </c>
      <c r="CA77" s="562">
        <v>5.86</v>
      </c>
      <c r="CB77" s="562">
        <v>7.3</v>
      </c>
      <c r="CC77" s="559">
        <v>50.57</v>
      </c>
      <c r="CD77" s="560">
        <v>52.04</v>
      </c>
      <c r="CE77" s="561">
        <v>45.04</v>
      </c>
      <c r="CF77" s="562">
        <v>5.86</v>
      </c>
      <c r="CG77" s="562">
        <v>7.33</v>
      </c>
      <c r="CH77" s="559">
        <v>50.9</v>
      </c>
      <c r="CI77" s="560">
        <v>52.37</v>
      </c>
      <c r="CJ77" s="13">
        <v>45.36</v>
      </c>
      <c r="CK77" s="13">
        <v>5.86</v>
      </c>
      <c r="CL77" s="13">
        <v>7.33</v>
      </c>
      <c r="CM77" s="13">
        <v>51.22</v>
      </c>
      <c r="CN77" s="13">
        <v>52.69</v>
      </c>
      <c r="CO77" s="13">
        <v>45.68</v>
      </c>
      <c r="CP77" s="13">
        <v>5.86</v>
      </c>
      <c r="CQ77" s="13">
        <v>7.33</v>
      </c>
      <c r="CR77" s="13">
        <v>51.54</v>
      </c>
      <c r="CS77" s="13">
        <v>53.01</v>
      </c>
      <c r="CT77" s="13">
        <v>46.01</v>
      </c>
      <c r="CU77" s="13">
        <v>5.86</v>
      </c>
      <c r="CV77" s="13">
        <v>7.33</v>
      </c>
      <c r="CW77" s="13">
        <v>51.87</v>
      </c>
      <c r="CX77" s="13">
        <v>53.34</v>
      </c>
      <c r="CY77" s="13">
        <v>46.33</v>
      </c>
      <c r="CZ77" s="13">
        <v>5.86</v>
      </c>
      <c r="DA77" s="13">
        <v>7.33</v>
      </c>
      <c r="DB77" s="13">
        <v>52.19</v>
      </c>
      <c r="DC77" s="13">
        <v>53.66</v>
      </c>
      <c r="DD77" s="13">
        <v>46.65</v>
      </c>
      <c r="DE77" s="13">
        <v>5.86</v>
      </c>
      <c r="DF77" s="13">
        <v>7.33</v>
      </c>
      <c r="DG77" s="13">
        <v>52.51</v>
      </c>
      <c r="DH77" s="13">
        <v>53.98</v>
      </c>
      <c r="DI77" s="13">
        <v>46.98</v>
      </c>
      <c r="DJ77" s="13">
        <v>5.86</v>
      </c>
      <c r="DK77" s="13">
        <v>7.33</v>
      </c>
      <c r="DL77" s="13">
        <v>52.84</v>
      </c>
      <c r="DM77" s="13">
        <v>54.31</v>
      </c>
      <c r="DN77" s="13">
        <v>47.3</v>
      </c>
      <c r="DO77" s="13">
        <v>5.86</v>
      </c>
      <c r="DP77" s="13">
        <v>7.33</v>
      </c>
      <c r="DQ77" s="13">
        <v>53.16</v>
      </c>
      <c r="DR77" s="13">
        <v>54.63</v>
      </c>
      <c r="DS77" s="13">
        <v>47.62</v>
      </c>
      <c r="DT77" s="13">
        <v>5.86</v>
      </c>
      <c r="DU77" s="13">
        <v>7.33</v>
      </c>
      <c r="DV77" s="13">
        <v>53.48</v>
      </c>
      <c r="DW77" s="13">
        <v>54.95</v>
      </c>
    </row>
    <row r="78" spans="1:127" s="13" customFormat="1" ht="21.75">
      <c r="A78" s="9"/>
      <c r="B78" s="11" t="s">
        <v>121</v>
      </c>
      <c r="C78" s="57" t="s">
        <v>7</v>
      </c>
      <c r="D78" s="22">
        <f t="shared" si="11"/>
        <v>57.5</v>
      </c>
      <c r="E78" s="22">
        <f t="shared" si="12"/>
        <v>7.39</v>
      </c>
      <c r="F78" s="22">
        <f t="shared" si="13"/>
        <v>9.24</v>
      </c>
      <c r="G78" s="22">
        <f t="shared" si="14"/>
        <v>64.89</v>
      </c>
      <c r="H78" s="22">
        <f t="shared" si="15"/>
        <v>66.739999999999995</v>
      </c>
      <c r="J78" s="9"/>
      <c r="K78" s="11" t="s">
        <v>121</v>
      </c>
      <c r="L78" s="63" t="s">
        <v>7</v>
      </c>
      <c r="M78" s="1371"/>
      <c r="N78" s="1372"/>
      <c r="O78" s="1372"/>
      <c r="P78" s="1369"/>
      <c r="Q78" s="1370"/>
      <c r="R78" s="1392">
        <v>56.36</v>
      </c>
      <c r="S78" s="1393">
        <v>7.39</v>
      </c>
      <c r="T78" s="1393">
        <v>9.24</v>
      </c>
      <c r="U78" s="1390">
        <f>R78+S78</f>
        <v>63.75</v>
      </c>
      <c r="V78" s="1391">
        <f>R78+T78</f>
        <v>65.599999999999994</v>
      </c>
      <c r="W78" s="561">
        <v>56.74</v>
      </c>
      <c r="X78" s="562">
        <v>7.39</v>
      </c>
      <c r="Y78" s="562">
        <v>9.24</v>
      </c>
      <c r="Z78" s="559">
        <v>64.13</v>
      </c>
      <c r="AA78" s="560">
        <v>65.98</v>
      </c>
      <c r="AB78" s="561">
        <v>57.12</v>
      </c>
      <c r="AC78" s="562">
        <v>7.39</v>
      </c>
      <c r="AD78" s="562">
        <v>8.24</v>
      </c>
      <c r="AE78" s="559">
        <v>64.510000000000005</v>
      </c>
      <c r="AF78" s="560">
        <v>66.36</v>
      </c>
      <c r="AG78" s="561">
        <v>57.5</v>
      </c>
      <c r="AH78" s="562">
        <v>7.39</v>
      </c>
      <c r="AI78" s="562">
        <v>9.24</v>
      </c>
      <c r="AJ78" s="559">
        <v>64.89</v>
      </c>
      <c r="AK78" s="560">
        <v>66.739999999999995</v>
      </c>
      <c r="AL78" s="561">
        <v>57.89</v>
      </c>
      <c r="AM78" s="562">
        <v>7.39</v>
      </c>
      <c r="AN78" s="562">
        <v>9.24</v>
      </c>
      <c r="AO78" s="559">
        <v>65.28</v>
      </c>
      <c r="AP78" s="560">
        <v>67.13</v>
      </c>
      <c r="AQ78" s="561">
        <v>58.27</v>
      </c>
      <c r="AR78" s="562">
        <v>7.39</v>
      </c>
      <c r="AS78" s="562">
        <v>9.24</v>
      </c>
      <c r="AT78" s="559">
        <v>65.66</v>
      </c>
      <c r="AU78" s="560">
        <v>67.510000000000005</v>
      </c>
      <c r="AV78" s="561">
        <v>58.65</v>
      </c>
      <c r="AW78" s="562">
        <v>7.39</v>
      </c>
      <c r="AX78" s="562">
        <v>9.24</v>
      </c>
      <c r="AY78" s="559">
        <v>66.040000000000006</v>
      </c>
      <c r="AZ78" s="560">
        <v>67.89</v>
      </c>
      <c r="BA78" s="561">
        <v>59.03</v>
      </c>
      <c r="BB78" s="562">
        <v>7.39</v>
      </c>
      <c r="BC78" s="562">
        <v>9.24</v>
      </c>
      <c r="BD78" s="559">
        <v>66.42</v>
      </c>
      <c r="BE78" s="560">
        <v>68.27</v>
      </c>
      <c r="BF78" s="561">
        <v>59.41</v>
      </c>
      <c r="BG78" s="562">
        <v>7.39</v>
      </c>
      <c r="BH78" s="562">
        <v>9.24</v>
      </c>
      <c r="BI78" s="559">
        <v>66.8</v>
      </c>
      <c r="BJ78" s="560">
        <v>68.650000000000006</v>
      </c>
      <c r="BK78" s="561">
        <v>59.8</v>
      </c>
      <c r="BL78" s="562">
        <v>7.39</v>
      </c>
      <c r="BM78" s="562">
        <v>9.24</v>
      </c>
      <c r="BN78" s="559">
        <v>67.19</v>
      </c>
      <c r="BO78" s="560">
        <v>69.040000000000006</v>
      </c>
      <c r="BP78" s="561">
        <v>60.18</v>
      </c>
      <c r="BQ78" s="562">
        <v>7.39</v>
      </c>
      <c r="BR78" s="562">
        <v>9.24</v>
      </c>
      <c r="BS78" s="559">
        <v>67.569999999999993</v>
      </c>
      <c r="BT78" s="560">
        <v>69.42</v>
      </c>
      <c r="BU78" s="561">
        <v>60.56</v>
      </c>
      <c r="BV78" s="562">
        <v>7.39</v>
      </c>
      <c r="BW78" s="562">
        <v>9.24</v>
      </c>
      <c r="BX78" s="559">
        <v>67.95</v>
      </c>
      <c r="BY78" s="560">
        <v>69.8</v>
      </c>
      <c r="BZ78" s="561">
        <v>60.94</v>
      </c>
      <c r="CA78" s="562">
        <v>7.39</v>
      </c>
      <c r="CB78" s="562">
        <v>9.24</v>
      </c>
      <c r="CC78" s="559">
        <v>68.33</v>
      </c>
      <c r="CD78" s="560">
        <v>70.180000000000007</v>
      </c>
      <c r="CE78" s="561">
        <v>61.32</v>
      </c>
      <c r="CF78" s="562">
        <v>7.39</v>
      </c>
      <c r="CG78" s="562">
        <v>9.24</v>
      </c>
      <c r="CH78" s="559">
        <v>68.709999999999994</v>
      </c>
      <c r="CI78" s="560">
        <v>70.56</v>
      </c>
      <c r="CJ78" s="13">
        <v>61.71</v>
      </c>
      <c r="CK78" s="13">
        <v>7.39</v>
      </c>
      <c r="CL78" s="13">
        <v>9.24</v>
      </c>
      <c r="CM78" s="13">
        <v>69.099999999999994</v>
      </c>
      <c r="CN78" s="13">
        <v>70.95</v>
      </c>
      <c r="CO78" s="13">
        <v>62.09</v>
      </c>
      <c r="CP78" s="13">
        <v>7.39</v>
      </c>
      <c r="CQ78" s="13">
        <v>9.24</v>
      </c>
      <c r="CR78" s="13">
        <v>69.48</v>
      </c>
      <c r="CS78" s="13">
        <v>71.33</v>
      </c>
      <c r="CT78" s="13">
        <v>62.47</v>
      </c>
      <c r="CU78" s="13">
        <v>7.39</v>
      </c>
      <c r="CV78" s="13">
        <v>9.24</v>
      </c>
      <c r="CW78" s="13">
        <v>69.86</v>
      </c>
      <c r="CX78" s="13">
        <v>71.709999999999994</v>
      </c>
      <c r="CY78" s="13">
        <v>62.85</v>
      </c>
      <c r="CZ78" s="13">
        <v>7.39</v>
      </c>
      <c r="DA78" s="13">
        <v>9.24</v>
      </c>
      <c r="DB78" s="13">
        <v>70.239999999999995</v>
      </c>
      <c r="DC78" s="13">
        <v>72.09</v>
      </c>
      <c r="DD78" s="13">
        <v>63.23</v>
      </c>
      <c r="DE78" s="13">
        <v>7.39</v>
      </c>
      <c r="DF78" s="13">
        <v>9.24</v>
      </c>
      <c r="DG78" s="13">
        <v>70.62</v>
      </c>
      <c r="DH78" s="13">
        <v>72.47</v>
      </c>
      <c r="DI78" s="13">
        <v>63.62</v>
      </c>
      <c r="DJ78" s="13">
        <v>7.39</v>
      </c>
      <c r="DK78" s="13">
        <v>9.24</v>
      </c>
      <c r="DL78" s="13">
        <v>71.010000000000005</v>
      </c>
      <c r="DM78" s="13">
        <v>72.86</v>
      </c>
      <c r="DN78" s="13">
        <v>64</v>
      </c>
      <c r="DO78" s="13">
        <v>7.39</v>
      </c>
      <c r="DP78" s="13">
        <v>9.24</v>
      </c>
      <c r="DQ78" s="13">
        <v>71.39</v>
      </c>
      <c r="DR78" s="13">
        <v>73.239999999999995</v>
      </c>
      <c r="DS78" s="13">
        <v>64.38</v>
      </c>
      <c r="DT78" s="13">
        <v>7.39</v>
      </c>
      <c r="DU78" s="13">
        <v>9.24</v>
      </c>
      <c r="DV78" s="13">
        <v>71.77</v>
      </c>
      <c r="DW78" s="13">
        <v>73.62</v>
      </c>
    </row>
    <row r="79" spans="1:127" s="13" customFormat="1" ht="21.75">
      <c r="A79" s="9"/>
      <c r="B79" s="11" t="s">
        <v>122</v>
      </c>
      <c r="C79" s="57" t="s">
        <v>7</v>
      </c>
      <c r="D79" s="22">
        <f t="shared" si="11"/>
        <v>69.63</v>
      </c>
      <c r="E79" s="22">
        <f t="shared" si="12"/>
        <v>8.11</v>
      </c>
      <c r="F79" s="22">
        <f t="shared" si="13"/>
        <v>10.14</v>
      </c>
      <c r="G79" s="22">
        <f t="shared" si="14"/>
        <v>77.739999999999995</v>
      </c>
      <c r="H79" s="22">
        <f t="shared" si="15"/>
        <v>79.77</v>
      </c>
      <c r="J79" s="9"/>
      <c r="K79" s="11" t="s">
        <v>122</v>
      </c>
      <c r="L79" s="63" t="s">
        <v>7</v>
      </c>
      <c r="M79" s="1371"/>
      <c r="N79" s="1372"/>
      <c r="O79" s="1372"/>
      <c r="P79" s="1369"/>
      <c r="Q79" s="1370"/>
      <c r="R79" s="1392">
        <v>68.23</v>
      </c>
      <c r="S79" s="1393">
        <v>8.11</v>
      </c>
      <c r="T79" s="1393">
        <v>10.14</v>
      </c>
      <c r="U79" s="1390">
        <f>R79+S79</f>
        <v>76.34</v>
      </c>
      <c r="V79" s="1391">
        <f>R79+T79</f>
        <v>78.37</v>
      </c>
      <c r="W79" s="561">
        <v>68.69</v>
      </c>
      <c r="X79" s="562">
        <v>8.11</v>
      </c>
      <c r="Y79" s="562">
        <v>10.14</v>
      </c>
      <c r="Z79" s="559">
        <v>76.8</v>
      </c>
      <c r="AA79" s="560">
        <v>78.83</v>
      </c>
      <c r="AB79" s="561">
        <v>69.16</v>
      </c>
      <c r="AC79" s="562">
        <v>8.11</v>
      </c>
      <c r="AD79" s="562">
        <v>10.14</v>
      </c>
      <c r="AE79" s="559">
        <v>77.227000000000004</v>
      </c>
      <c r="AF79" s="560">
        <v>79.3</v>
      </c>
      <c r="AG79" s="561">
        <v>69.63</v>
      </c>
      <c r="AH79" s="562">
        <v>8.11</v>
      </c>
      <c r="AI79" s="562">
        <v>10.14</v>
      </c>
      <c r="AJ79" s="559">
        <v>77.739999999999995</v>
      </c>
      <c r="AK79" s="560">
        <v>79.77</v>
      </c>
      <c r="AL79" s="561">
        <v>70.09</v>
      </c>
      <c r="AM79" s="562">
        <v>8.11</v>
      </c>
      <c r="AN79" s="562">
        <v>10.14</v>
      </c>
      <c r="AO79" s="559">
        <v>78.2</v>
      </c>
      <c r="AP79" s="560">
        <v>80.23</v>
      </c>
      <c r="AQ79" s="561">
        <v>70.56</v>
      </c>
      <c r="AR79" s="562">
        <v>8.11</v>
      </c>
      <c r="AS79" s="562">
        <v>10.14</v>
      </c>
      <c r="AT79" s="559">
        <v>78.67</v>
      </c>
      <c r="AU79" s="560">
        <v>80.7</v>
      </c>
      <c r="AV79" s="561">
        <v>71.02</v>
      </c>
      <c r="AW79" s="562">
        <v>8.11</v>
      </c>
      <c r="AX79" s="562">
        <v>10.14</v>
      </c>
      <c r="AY79" s="559">
        <v>79.13</v>
      </c>
      <c r="AZ79" s="560">
        <v>81.16</v>
      </c>
      <c r="BA79" s="561">
        <v>71.489999999999995</v>
      </c>
      <c r="BB79" s="562">
        <v>8.11</v>
      </c>
      <c r="BC79" s="562">
        <v>10.14</v>
      </c>
      <c r="BD79" s="559">
        <v>79.599999999999994</v>
      </c>
      <c r="BE79" s="560">
        <v>81.63</v>
      </c>
      <c r="BF79" s="561">
        <v>71.959999999999994</v>
      </c>
      <c r="BG79" s="562">
        <v>8.11</v>
      </c>
      <c r="BH79" s="562">
        <v>10.14</v>
      </c>
      <c r="BI79" s="559">
        <v>80.069999999999993</v>
      </c>
      <c r="BJ79" s="560">
        <v>82.1</v>
      </c>
      <c r="BK79" s="561">
        <v>72.42</v>
      </c>
      <c r="BL79" s="562">
        <v>8.11</v>
      </c>
      <c r="BM79" s="562">
        <v>10.14</v>
      </c>
      <c r="BN79" s="559">
        <v>80.53</v>
      </c>
      <c r="BO79" s="560">
        <v>82.56</v>
      </c>
      <c r="BP79" s="561">
        <v>72.89</v>
      </c>
      <c r="BQ79" s="562">
        <v>8.11</v>
      </c>
      <c r="BR79" s="562">
        <v>10.14</v>
      </c>
      <c r="BS79" s="559">
        <v>81</v>
      </c>
      <c r="BT79" s="560">
        <v>83.03</v>
      </c>
      <c r="BU79" s="561">
        <v>73.36</v>
      </c>
      <c r="BV79" s="562">
        <v>8.11</v>
      </c>
      <c r="BW79" s="562">
        <v>10.14</v>
      </c>
      <c r="BX79" s="559">
        <v>81.47</v>
      </c>
      <c r="BY79" s="560">
        <v>83.5</v>
      </c>
      <c r="BZ79" s="561">
        <v>73.819999999999993</v>
      </c>
      <c r="CA79" s="562">
        <v>8.11</v>
      </c>
      <c r="CB79" s="562">
        <v>10.14</v>
      </c>
      <c r="CC79" s="559">
        <v>81.93</v>
      </c>
      <c r="CD79" s="560">
        <v>83.96</v>
      </c>
      <c r="CE79" s="561">
        <v>74.290000000000006</v>
      </c>
      <c r="CF79" s="562">
        <v>8.11</v>
      </c>
      <c r="CG79" s="562">
        <v>10.14</v>
      </c>
      <c r="CH79" s="559">
        <v>82.4</v>
      </c>
      <c r="CI79" s="560">
        <v>84.43</v>
      </c>
      <c r="CJ79" s="13">
        <v>74.75</v>
      </c>
      <c r="CK79" s="13">
        <v>8.11</v>
      </c>
      <c r="CL79" s="13">
        <v>10.14</v>
      </c>
      <c r="CM79" s="13">
        <v>82.86</v>
      </c>
      <c r="CN79" s="13">
        <v>84.89</v>
      </c>
      <c r="CO79" s="13">
        <v>75.22</v>
      </c>
      <c r="CP79" s="13">
        <v>8.11</v>
      </c>
      <c r="CQ79" s="13">
        <v>10.14</v>
      </c>
      <c r="CR79" s="13">
        <v>83.33</v>
      </c>
      <c r="CS79" s="13">
        <v>85.36</v>
      </c>
      <c r="CT79" s="13">
        <v>75.69</v>
      </c>
      <c r="CU79" s="13">
        <v>8.11</v>
      </c>
      <c r="CV79" s="13">
        <v>10.14</v>
      </c>
      <c r="CW79" s="13">
        <v>83.8</v>
      </c>
      <c r="CX79" s="13">
        <v>85.83</v>
      </c>
      <c r="CY79" s="13">
        <v>76.150000000000006</v>
      </c>
      <c r="CZ79" s="13">
        <v>8.11</v>
      </c>
      <c r="DA79" s="13">
        <v>10.14</v>
      </c>
      <c r="DB79" s="13">
        <v>84.26</v>
      </c>
      <c r="DC79" s="13">
        <v>86.29</v>
      </c>
      <c r="DD79" s="13">
        <v>76.62</v>
      </c>
      <c r="DE79" s="13">
        <v>8.11</v>
      </c>
      <c r="DF79" s="13">
        <v>10.14</v>
      </c>
      <c r="DG79" s="13">
        <v>84.73</v>
      </c>
      <c r="DH79" s="13">
        <v>86.76</v>
      </c>
      <c r="DI79" s="13">
        <v>77.08</v>
      </c>
      <c r="DJ79" s="13">
        <v>8.11</v>
      </c>
      <c r="DK79" s="13">
        <v>10.14</v>
      </c>
      <c r="DL79" s="13">
        <v>85.19</v>
      </c>
      <c r="DM79" s="13">
        <v>87.22</v>
      </c>
      <c r="DN79" s="13">
        <v>77.55</v>
      </c>
      <c r="DO79" s="13">
        <v>8.11</v>
      </c>
      <c r="DP79" s="13">
        <v>10.14</v>
      </c>
      <c r="DQ79" s="13">
        <v>85.66</v>
      </c>
      <c r="DR79" s="13">
        <v>87.69</v>
      </c>
      <c r="DS79" s="13">
        <v>78.02</v>
      </c>
      <c r="DT79" s="13">
        <v>8.11</v>
      </c>
      <c r="DU79" s="13">
        <v>10.14</v>
      </c>
      <c r="DV79" s="13">
        <v>86.13</v>
      </c>
      <c r="DW79" s="13">
        <v>88.16</v>
      </c>
    </row>
    <row r="80" spans="1:127" s="13" customFormat="1" ht="21.75">
      <c r="A80" s="9"/>
      <c r="B80" s="11" t="s">
        <v>123</v>
      </c>
      <c r="C80" s="57" t="s">
        <v>7</v>
      </c>
      <c r="D80" s="22">
        <f t="shared" si="11"/>
        <v>84.38</v>
      </c>
      <c r="E80" s="22">
        <f t="shared" si="12"/>
        <v>9</v>
      </c>
      <c r="F80" s="22">
        <f t="shared" si="13"/>
        <v>11.25</v>
      </c>
      <c r="G80" s="22">
        <f t="shared" si="14"/>
        <v>93.38</v>
      </c>
      <c r="H80" s="22">
        <f t="shared" si="15"/>
        <v>95.63</v>
      </c>
      <c r="J80" s="9"/>
      <c r="K80" s="11" t="s">
        <v>123</v>
      </c>
      <c r="L80" s="63" t="s">
        <v>7</v>
      </c>
      <c r="M80" s="1371"/>
      <c r="N80" s="1372"/>
      <c r="O80" s="1372"/>
      <c r="P80" s="1369"/>
      <c r="Q80" s="1370"/>
      <c r="R80" s="1392">
        <v>82.68</v>
      </c>
      <c r="S80" s="1393">
        <v>9</v>
      </c>
      <c r="T80" s="1393">
        <v>11.25</v>
      </c>
      <c r="U80" s="1390">
        <f>R80+S80</f>
        <v>91.68</v>
      </c>
      <c r="V80" s="1391">
        <f>R80+T80</f>
        <v>93.93</v>
      </c>
      <c r="W80" s="561">
        <v>83.25</v>
      </c>
      <c r="X80" s="562">
        <v>9</v>
      </c>
      <c r="Y80" s="562">
        <v>11.25</v>
      </c>
      <c r="Z80" s="559">
        <v>92.25</v>
      </c>
      <c r="AA80" s="560">
        <v>94.5</v>
      </c>
      <c r="AB80" s="561">
        <v>83.82</v>
      </c>
      <c r="AC80" s="562">
        <v>9</v>
      </c>
      <c r="AD80" s="562">
        <v>11.25</v>
      </c>
      <c r="AE80" s="559">
        <v>92.82</v>
      </c>
      <c r="AF80" s="560">
        <v>95.07</v>
      </c>
      <c r="AG80" s="561">
        <v>84.38</v>
      </c>
      <c r="AH80" s="562">
        <v>9</v>
      </c>
      <c r="AI80" s="562">
        <v>11.25</v>
      </c>
      <c r="AJ80" s="559">
        <v>93.38</v>
      </c>
      <c r="AK80" s="560">
        <v>95.63</v>
      </c>
      <c r="AL80" s="561">
        <v>84.95</v>
      </c>
      <c r="AM80" s="562">
        <v>9</v>
      </c>
      <c r="AN80" s="562">
        <v>11.25</v>
      </c>
      <c r="AO80" s="559">
        <v>93.95</v>
      </c>
      <c r="AP80" s="560">
        <v>96.2</v>
      </c>
      <c r="AQ80" s="561">
        <v>85.52</v>
      </c>
      <c r="AR80" s="562">
        <v>9</v>
      </c>
      <c r="AS80" s="562">
        <v>11.25</v>
      </c>
      <c r="AT80" s="559">
        <v>94.52</v>
      </c>
      <c r="AU80" s="560">
        <v>96.77</v>
      </c>
      <c r="AV80" s="561">
        <v>86.09</v>
      </c>
      <c r="AW80" s="562">
        <v>9</v>
      </c>
      <c r="AX80" s="562">
        <v>11.25</v>
      </c>
      <c r="AY80" s="559">
        <v>95.09</v>
      </c>
      <c r="AZ80" s="560">
        <v>97.34</v>
      </c>
      <c r="BA80" s="561">
        <v>86.66</v>
      </c>
      <c r="BB80" s="562">
        <v>9</v>
      </c>
      <c r="BC80" s="562">
        <v>11.25</v>
      </c>
      <c r="BD80" s="559">
        <v>95.66</v>
      </c>
      <c r="BE80" s="560">
        <v>97.91</v>
      </c>
      <c r="BF80" s="561">
        <v>87.23</v>
      </c>
      <c r="BG80" s="562">
        <v>9</v>
      </c>
      <c r="BH80" s="562">
        <v>11.25</v>
      </c>
      <c r="BI80" s="559">
        <v>96.23</v>
      </c>
      <c r="BJ80" s="560">
        <v>98.48</v>
      </c>
      <c r="BK80" s="561">
        <v>87.8</v>
      </c>
      <c r="BL80" s="562">
        <v>9</v>
      </c>
      <c r="BM80" s="562">
        <v>11.25</v>
      </c>
      <c r="BN80" s="559">
        <v>96.8</v>
      </c>
      <c r="BO80" s="560">
        <v>99.05</v>
      </c>
      <c r="BP80" s="561">
        <v>88.36</v>
      </c>
      <c r="BQ80" s="562">
        <v>9</v>
      </c>
      <c r="BR80" s="562">
        <v>11.25</v>
      </c>
      <c r="BS80" s="559">
        <v>97.36</v>
      </c>
      <c r="BT80" s="560">
        <v>99.61</v>
      </c>
      <c r="BU80" s="561">
        <v>88.93</v>
      </c>
      <c r="BV80" s="562">
        <v>9</v>
      </c>
      <c r="BW80" s="562">
        <v>11.25</v>
      </c>
      <c r="BX80" s="559">
        <v>97.93</v>
      </c>
      <c r="BY80" s="560">
        <v>100.18</v>
      </c>
      <c r="BZ80" s="561">
        <v>89.5</v>
      </c>
      <c r="CA80" s="562">
        <v>9</v>
      </c>
      <c r="CB80" s="562">
        <v>11.25</v>
      </c>
      <c r="CC80" s="559">
        <v>98.5</v>
      </c>
      <c r="CD80" s="560">
        <v>100.75</v>
      </c>
      <c r="CE80" s="561">
        <v>90.07</v>
      </c>
      <c r="CF80" s="562">
        <v>9</v>
      </c>
      <c r="CG80" s="562">
        <v>11.25</v>
      </c>
      <c r="CH80" s="559">
        <v>99.07</v>
      </c>
      <c r="CI80" s="560">
        <v>101.32</v>
      </c>
      <c r="CJ80" s="13">
        <v>90.64</v>
      </c>
      <c r="CK80" s="13">
        <v>90</v>
      </c>
      <c r="CL80" s="13">
        <v>11.25</v>
      </c>
      <c r="CM80" s="13">
        <v>99.64</v>
      </c>
      <c r="CN80" s="13">
        <v>101.89</v>
      </c>
      <c r="CO80" s="13">
        <v>91.21</v>
      </c>
      <c r="CP80" s="13">
        <v>9</v>
      </c>
      <c r="CQ80" s="13">
        <v>11.25</v>
      </c>
      <c r="CR80" s="13">
        <v>100.21</v>
      </c>
      <c r="CS80" s="13">
        <v>102.46</v>
      </c>
      <c r="CT80" s="13">
        <v>91.77</v>
      </c>
      <c r="CU80" s="13">
        <v>9</v>
      </c>
      <c r="CV80" s="13">
        <v>11.25</v>
      </c>
      <c r="CW80" s="13">
        <v>100.77</v>
      </c>
      <c r="CX80" s="13">
        <v>103.02</v>
      </c>
      <c r="CY80" s="13">
        <v>92.34</v>
      </c>
      <c r="CZ80" s="13">
        <v>9</v>
      </c>
      <c r="DA80" s="13">
        <v>11.25</v>
      </c>
      <c r="DB80" s="13">
        <v>101.34</v>
      </c>
      <c r="DC80" s="13">
        <v>103.59</v>
      </c>
      <c r="DD80" s="13">
        <v>92.91</v>
      </c>
      <c r="DE80" s="13">
        <v>9</v>
      </c>
      <c r="DF80" s="13">
        <v>11.25</v>
      </c>
      <c r="DG80" s="13">
        <v>101.91</v>
      </c>
      <c r="DH80" s="13">
        <v>104.16</v>
      </c>
      <c r="DI80" s="13">
        <v>93.48</v>
      </c>
      <c r="DJ80" s="13">
        <v>9</v>
      </c>
      <c r="DK80" s="13">
        <v>11.25</v>
      </c>
      <c r="DL80" s="13">
        <v>102.48</v>
      </c>
      <c r="DM80" s="13">
        <v>104.73</v>
      </c>
      <c r="DN80" s="13">
        <v>94.05</v>
      </c>
      <c r="DO80" s="13">
        <v>9</v>
      </c>
      <c r="DP80" s="13">
        <v>11.25</v>
      </c>
      <c r="DQ80" s="13">
        <v>103.05</v>
      </c>
      <c r="DR80" s="13">
        <v>105.3</v>
      </c>
      <c r="DS80" s="13">
        <v>94.62</v>
      </c>
      <c r="DT80" s="13">
        <v>9</v>
      </c>
      <c r="DU80" s="13">
        <v>11.25</v>
      </c>
      <c r="DV80" s="13">
        <v>103.62</v>
      </c>
      <c r="DW80" s="13">
        <v>105.87</v>
      </c>
    </row>
    <row r="81" spans="1:127" s="13" customFormat="1" ht="21.75">
      <c r="A81" s="9">
        <v>20</v>
      </c>
      <c r="B81" s="11" t="s">
        <v>124</v>
      </c>
      <c r="C81" s="57"/>
      <c r="D81" s="22"/>
      <c r="E81" s="22"/>
      <c r="F81" s="22"/>
      <c r="G81" s="22"/>
      <c r="H81" s="22"/>
      <c r="J81" s="9">
        <v>20</v>
      </c>
      <c r="K81" s="11" t="s">
        <v>124</v>
      </c>
      <c r="L81" s="63"/>
      <c r="M81" s="1371"/>
      <c r="N81" s="1372"/>
      <c r="O81" s="1372"/>
      <c r="P81" s="1372"/>
      <c r="Q81" s="1373"/>
      <c r="R81" s="1392"/>
      <c r="S81" s="1393"/>
      <c r="T81" s="1393"/>
      <c r="U81" s="1393"/>
      <c r="V81" s="1394"/>
      <c r="W81" s="561"/>
      <c r="X81" s="562"/>
      <c r="Y81" s="562"/>
      <c r="Z81" s="562"/>
      <c r="AA81" s="563"/>
      <c r="AB81" s="561"/>
      <c r="AC81" s="562"/>
      <c r="AD81" s="562"/>
      <c r="AE81" s="562"/>
      <c r="AF81" s="563"/>
      <c r="AG81" s="561"/>
      <c r="AH81" s="562"/>
      <c r="AI81" s="562"/>
      <c r="AJ81" s="562"/>
      <c r="AK81" s="563"/>
      <c r="AL81" s="561"/>
      <c r="AM81" s="562"/>
      <c r="AN81" s="562"/>
      <c r="AO81" s="562"/>
      <c r="AP81" s="563"/>
      <c r="AQ81" s="561"/>
      <c r="AR81" s="562"/>
      <c r="AS81" s="562"/>
      <c r="AT81" s="562"/>
      <c r="AU81" s="563"/>
      <c r="AV81" s="561"/>
      <c r="AW81" s="562"/>
      <c r="AX81" s="562"/>
      <c r="AY81" s="562"/>
      <c r="AZ81" s="563"/>
      <c r="BA81" s="561"/>
      <c r="BB81" s="562"/>
      <c r="BC81" s="562"/>
      <c r="BD81" s="562"/>
      <c r="BE81" s="563"/>
      <c r="BF81" s="561"/>
      <c r="BG81" s="562"/>
      <c r="BH81" s="562"/>
      <c r="BI81" s="562"/>
      <c r="BJ81" s="563"/>
      <c r="BK81" s="561"/>
      <c r="BL81" s="562"/>
      <c r="BM81" s="562"/>
      <c r="BN81" s="562"/>
      <c r="BO81" s="563"/>
      <c r="BP81" s="561"/>
      <c r="BQ81" s="562"/>
      <c r="BR81" s="562"/>
      <c r="BS81" s="562"/>
      <c r="BT81" s="563"/>
      <c r="BU81" s="561"/>
      <c r="BV81" s="562"/>
      <c r="BW81" s="562"/>
      <c r="BX81" s="562"/>
      <c r="BY81" s="563"/>
      <c r="BZ81" s="561"/>
      <c r="CA81" s="562"/>
      <c r="CB81" s="562"/>
      <c r="CC81" s="562"/>
      <c r="CD81" s="563"/>
      <c r="CE81" s="561"/>
      <c r="CF81" s="562"/>
      <c r="CG81" s="562"/>
      <c r="CH81" s="562"/>
      <c r="CI81" s="563"/>
    </row>
    <row r="82" spans="1:127" s="13" customFormat="1" ht="21.75">
      <c r="A82" s="9"/>
      <c r="B82" s="11" t="s">
        <v>122</v>
      </c>
      <c r="C82" s="57" t="s">
        <v>7</v>
      </c>
      <c r="D82" s="22">
        <f t="shared" si="11"/>
        <v>9.09</v>
      </c>
      <c r="E82" s="22">
        <f t="shared" si="12"/>
        <v>1.97</v>
      </c>
      <c r="F82" s="22">
        <f t="shared" si="13"/>
        <v>2.46</v>
      </c>
      <c r="G82" s="22">
        <f t="shared" si="14"/>
        <v>11.06</v>
      </c>
      <c r="H82" s="22">
        <f t="shared" si="15"/>
        <v>11.55</v>
      </c>
      <c r="J82" s="9"/>
      <c r="K82" s="11" t="s">
        <v>122</v>
      </c>
      <c r="L82" s="63" t="s">
        <v>7</v>
      </c>
      <c r="M82" s="1371"/>
      <c r="N82" s="1372"/>
      <c r="O82" s="1372"/>
      <c r="P82" s="1369"/>
      <c r="Q82" s="1370"/>
      <c r="R82" s="1392">
        <v>8.51</v>
      </c>
      <c r="S82" s="1393">
        <v>1.97</v>
      </c>
      <c r="T82" s="1393">
        <v>2.46</v>
      </c>
      <c r="U82" s="1390">
        <f>R82+S82</f>
        <v>10.48</v>
      </c>
      <c r="V82" s="1391">
        <f>R82+T82</f>
        <v>10.969999999999999</v>
      </c>
      <c r="W82" s="561">
        <v>8.6999999999999993</v>
      </c>
      <c r="X82" s="562">
        <v>1.97</v>
      </c>
      <c r="Y82" s="562">
        <v>2.46</v>
      </c>
      <c r="Z82" s="559">
        <v>10.67</v>
      </c>
      <c r="AA82" s="560">
        <v>11.56</v>
      </c>
      <c r="AB82" s="561">
        <v>8.9</v>
      </c>
      <c r="AC82" s="562">
        <v>1.97</v>
      </c>
      <c r="AD82" s="562">
        <v>2.46</v>
      </c>
      <c r="AE82" s="559">
        <v>10.87</v>
      </c>
      <c r="AF82" s="560">
        <v>11.36</v>
      </c>
      <c r="AG82" s="561">
        <v>9.09</v>
      </c>
      <c r="AH82" s="562">
        <v>1.97</v>
      </c>
      <c r="AI82" s="562">
        <v>2.46</v>
      </c>
      <c r="AJ82" s="559">
        <v>11.06</v>
      </c>
      <c r="AK82" s="560">
        <v>11.55</v>
      </c>
      <c r="AL82" s="561">
        <v>9.2799999999999994</v>
      </c>
      <c r="AM82" s="562">
        <v>1.97</v>
      </c>
      <c r="AN82" s="562">
        <v>2.46</v>
      </c>
      <c r="AO82" s="559">
        <v>11.25</v>
      </c>
      <c r="AP82" s="560">
        <v>11.74</v>
      </c>
      <c r="AQ82" s="561">
        <v>9.48</v>
      </c>
      <c r="AR82" s="562">
        <v>1.97</v>
      </c>
      <c r="AS82" s="562">
        <v>2.46</v>
      </c>
      <c r="AT82" s="559">
        <v>11.45</v>
      </c>
      <c r="AU82" s="560">
        <v>11.94</v>
      </c>
      <c r="AV82" s="561">
        <v>9.67</v>
      </c>
      <c r="AW82" s="562">
        <v>1.97</v>
      </c>
      <c r="AX82" s="562">
        <v>2.46</v>
      </c>
      <c r="AY82" s="559">
        <v>11.64</v>
      </c>
      <c r="AZ82" s="560">
        <v>12.13</v>
      </c>
      <c r="BA82" s="561">
        <v>9.86</v>
      </c>
      <c r="BB82" s="562">
        <v>1.97</v>
      </c>
      <c r="BC82" s="562">
        <v>2.46</v>
      </c>
      <c r="BD82" s="559">
        <v>11.83</v>
      </c>
      <c r="BE82" s="560">
        <v>12.32</v>
      </c>
      <c r="BF82" s="561">
        <v>10.06</v>
      </c>
      <c r="BG82" s="562">
        <v>1.97</v>
      </c>
      <c r="BH82" s="562">
        <v>2.46</v>
      </c>
      <c r="BI82" s="559">
        <v>12.03</v>
      </c>
      <c r="BJ82" s="560">
        <v>12.32</v>
      </c>
      <c r="BK82" s="561">
        <v>10.25</v>
      </c>
      <c r="BL82" s="562">
        <v>1.97</v>
      </c>
      <c r="BM82" s="562">
        <v>2.46</v>
      </c>
      <c r="BN82" s="559">
        <v>12.22</v>
      </c>
      <c r="BO82" s="560">
        <v>12.71</v>
      </c>
      <c r="BP82" s="561">
        <v>10.45</v>
      </c>
      <c r="BQ82" s="562">
        <v>1.97</v>
      </c>
      <c r="BR82" s="562">
        <v>2.46</v>
      </c>
      <c r="BS82" s="559">
        <v>12.42</v>
      </c>
      <c r="BT82" s="560">
        <v>12.91</v>
      </c>
      <c r="BU82" s="561">
        <v>10.64</v>
      </c>
      <c r="BV82" s="562">
        <v>1.97</v>
      </c>
      <c r="BW82" s="562">
        <v>2.46</v>
      </c>
      <c r="BX82" s="559">
        <v>12.61</v>
      </c>
      <c r="BY82" s="560">
        <v>13.1</v>
      </c>
      <c r="BZ82" s="561">
        <v>10.83</v>
      </c>
      <c r="CA82" s="562">
        <v>1.97</v>
      </c>
      <c r="CB82" s="562">
        <v>2.46</v>
      </c>
      <c r="CC82" s="559">
        <v>12.8</v>
      </c>
      <c r="CD82" s="560">
        <v>13.29</v>
      </c>
      <c r="CE82" s="561">
        <v>11.03</v>
      </c>
      <c r="CF82" s="562">
        <v>1.97</v>
      </c>
      <c r="CG82" s="562">
        <v>2.46</v>
      </c>
      <c r="CH82" s="559">
        <v>13</v>
      </c>
      <c r="CI82" s="560">
        <v>13.49</v>
      </c>
      <c r="CJ82" s="13">
        <v>11.22</v>
      </c>
      <c r="CK82" s="13">
        <v>1.97</v>
      </c>
      <c r="CL82" s="13">
        <v>2.46</v>
      </c>
      <c r="CM82" s="13">
        <v>13.19</v>
      </c>
      <c r="CN82" s="13">
        <v>13.68</v>
      </c>
      <c r="CO82" s="13">
        <v>11.42</v>
      </c>
      <c r="CP82" s="13">
        <v>1.97</v>
      </c>
      <c r="CQ82" s="13">
        <v>2.46</v>
      </c>
      <c r="CR82" s="13">
        <v>13.39</v>
      </c>
      <c r="CS82" s="13">
        <v>13.88</v>
      </c>
      <c r="CT82" s="13">
        <v>11.61</v>
      </c>
      <c r="CU82" s="13">
        <v>1.97</v>
      </c>
      <c r="CV82" s="13">
        <v>2.46</v>
      </c>
      <c r="CW82" s="13">
        <v>13.58</v>
      </c>
      <c r="CX82" s="13">
        <v>14.07</v>
      </c>
      <c r="CY82" s="13">
        <v>11.8</v>
      </c>
      <c r="CZ82" s="13">
        <v>1.97</v>
      </c>
      <c r="DA82" s="13">
        <v>2.46</v>
      </c>
      <c r="DB82" s="13">
        <v>13.77</v>
      </c>
      <c r="DC82" s="13">
        <v>14.26</v>
      </c>
      <c r="DD82" s="13">
        <v>12</v>
      </c>
      <c r="DE82" s="13">
        <v>1.97</v>
      </c>
      <c r="DF82" s="13">
        <v>2.46</v>
      </c>
      <c r="DG82" s="13">
        <v>13.97</v>
      </c>
      <c r="DH82" s="13">
        <v>14.46</v>
      </c>
      <c r="DI82" s="13">
        <v>12.19</v>
      </c>
      <c r="DJ82" s="13">
        <v>1.97</v>
      </c>
      <c r="DK82" s="13">
        <v>2.46</v>
      </c>
      <c r="DL82" s="13">
        <v>14.16</v>
      </c>
      <c r="DM82" s="13">
        <v>14.65</v>
      </c>
      <c r="DN82" s="13">
        <v>12.39</v>
      </c>
      <c r="DO82" s="13">
        <v>1.97</v>
      </c>
      <c r="DP82" s="13">
        <v>2.46</v>
      </c>
      <c r="DQ82" s="13">
        <v>14.36</v>
      </c>
      <c r="DR82" s="13">
        <v>14.85</v>
      </c>
      <c r="DS82" s="13">
        <v>12.58</v>
      </c>
      <c r="DT82" s="13">
        <v>1.97</v>
      </c>
      <c r="DU82" s="13">
        <v>2.46</v>
      </c>
      <c r="DV82" s="13">
        <v>14.55</v>
      </c>
      <c r="DW82" s="13">
        <v>15.04</v>
      </c>
    </row>
    <row r="83" spans="1:127" s="13" customFormat="1" ht="22.5" thickBot="1">
      <c r="A83" s="14"/>
      <c r="B83" s="15" t="s">
        <v>125</v>
      </c>
      <c r="C83" s="58" t="s">
        <v>7</v>
      </c>
      <c r="D83" s="519">
        <f t="shared" si="11"/>
        <v>10.6</v>
      </c>
      <c r="E83" s="23">
        <f t="shared" si="12"/>
        <v>2.2999999999999998</v>
      </c>
      <c r="F83" s="23">
        <f t="shared" si="13"/>
        <v>2.88</v>
      </c>
      <c r="G83" s="23">
        <f t="shared" si="14"/>
        <v>12.9</v>
      </c>
      <c r="H83" s="23">
        <f t="shared" si="15"/>
        <v>13.48</v>
      </c>
      <c r="J83" s="14"/>
      <c r="K83" s="15" t="s">
        <v>125</v>
      </c>
      <c r="L83" s="64" t="s">
        <v>7</v>
      </c>
      <c r="M83" s="1374"/>
      <c r="N83" s="1375"/>
      <c r="O83" s="1375"/>
      <c r="P83" s="1376"/>
      <c r="Q83" s="1377"/>
      <c r="R83" s="1395">
        <v>9.93</v>
      </c>
      <c r="S83" s="1396">
        <v>2.2999999999999998</v>
      </c>
      <c r="T83" s="1396">
        <v>2.88</v>
      </c>
      <c r="U83" s="1397">
        <f>R83+S83</f>
        <v>12.23</v>
      </c>
      <c r="V83" s="1398">
        <f>R83+T83</f>
        <v>12.809999999999999</v>
      </c>
      <c r="W83" s="564">
        <v>10.15</v>
      </c>
      <c r="X83" s="565">
        <v>2.2999999999999998</v>
      </c>
      <c r="Y83" s="565">
        <v>2.88</v>
      </c>
      <c r="Z83" s="566">
        <v>12.45</v>
      </c>
      <c r="AA83" s="567">
        <v>13.92</v>
      </c>
      <c r="AB83" s="564">
        <v>10.38</v>
      </c>
      <c r="AC83" s="565">
        <v>2.2999999999999998</v>
      </c>
      <c r="AD83" s="565">
        <v>2.88</v>
      </c>
      <c r="AE83" s="566">
        <v>12.68</v>
      </c>
      <c r="AF83" s="567">
        <v>13.26</v>
      </c>
      <c r="AG83" s="564">
        <v>10.6</v>
      </c>
      <c r="AH83" s="565">
        <v>2.2999999999999998</v>
      </c>
      <c r="AI83" s="565">
        <v>2.88</v>
      </c>
      <c r="AJ83" s="566">
        <v>12.9</v>
      </c>
      <c r="AK83" s="567">
        <v>13.48</v>
      </c>
      <c r="AL83" s="564">
        <v>10.83</v>
      </c>
      <c r="AM83" s="565">
        <v>2.2999999999999998</v>
      </c>
      <c r="AN83" s="565">
        <v>2.88</v>
      </c>
      <c r="AO83" s="566">
        <v>13.13</v>
      </c>
      <c r="AP83" s="567">
        <v>13.71</v>
      </c>
      <c r="AQ83" s="564">
        <v>11.06</v>
      </c>
      <c r="AR83" s="565">
        <v>2.2999999999999998</v>
      </c>
      <c r="AS83" s="565">
        <v>2.88</v>
      </c>
      <c r="AT83" s="566">
        <v>13.36</v>
      </c>
      <c r="AU83" s="567">
        <v>15.94</v>
      </c>
      <c r="AV83" s="564">
        <v>11.28</v>
      </c>
      <c r="AW83" s="565">
        <v>2.2999999999999998</v>
      </c>
      <c r="AX83" s="565">
        <v>2.88</v>
      </c>
      <c r="AY83" s="566">
        <v>13.58</v>
      </c>
      <c r="AZ83" s="567">
        <v>14.16</v>
      </c>
      <c r="BA83" s="564">
        <v>11.51</v>
      </c>
      <c r="BB83" s="565">
        <v>2.2999999999999998</v>
      </c>
      <c r="BC83" s="565">
        <v>2.88</v>
      </c>
      <c r="BD83" s="566">
        <v>13.81</v>
      </c>
      <c r="BE83" s="567">
        <v>14.39</v>
      </c>
      <c r="BF83" s="564">
        <v>11.74</v>
      </c>
      <c r="BG83" s="565">
        <v>2.2999999999999998</v>
      </c>
      <c r="BH83" s="565">
        <v>2.88</v>
      </c>
      <c r="BI83" s="566">
        <v>14.04</v>
      </c>
      <c r="BJ83" s="567">
        <v>14.69</v>
      </c>
      <c r="BK83" s="564">
        <v>11.96</v>
      </c>
      <c r="BL83" s="565">
        <v>2.2999999999999998</v>
      </c>
      <c r="BM83" s="565">
        <v>2.88</v>
      </c>
      <c r="BN83" s="566">
        <v>14.26</v>
      </c>
      <c r="BO83" s="567">
        <v>14.84</v>
      </c>
      <c r="BP83" s="564">
        <v>12.19</v>
      </c>
      <c r="BQ83" s="565">
        <v>2.2999999999999998</v>
      </c>
      <c r="BR83" s="565">
        <v>2.88</v>
      </c>
      <c r="BS83" s="566">
        <v>14.49</v>
      </c>
      <c r="BT83" s="567">
        <v>15.07</v>
      </c>
      <c r="BU83" s="564">
        <v>12.41</v>
      </c>
      <c r="BV83" s="565">
        <v>2.2999999999999998</v>
      </c>
      <c r="BW83" s="565">
        <v>2.88</v>
      </c>
      <c r="BX83" s="566">
        <v>14.71</v>
      </c>
      <c r="BY83" s="567">
        <v>12.64</v>
      </c>
      <c r="BZ83" s="564">
        <v>2.2999999999999998</v>
      </c>
      <c r="CA83" s="565">
        <v>2.88</v>
      </c>
      <c r="CB83" s="565">
        <v>14.94</v>
      </c>
      <c r="CC83" s="566">
        <v>17.62</v>
      </c>
      <c r="CD83" s="567">
        <v>14.44</v>
      </c>
      <c r="CE83" s="564">
        <v>12.87</v>
      </c>
      <c r="CF83" s="565">
        <v>2.2999999999999998</v>
      </c>
      <c r="CG83" s="565">
        <v>2.88</v>
      </c>
      <c r="CH83" s="566">
        <v>15.17</v>
      </c>
      <c r="CI83" s="567">
        <v>15.75</v>
      </c>
      <c r="CJ83" s="13">
        <v>13.09</v>
      </c>
      <c r="CK83" s="13">
        <v>2.2999999999999998</v>
      </c>
      <c r="CL83" s="13">
        <v>2.88</v>
      </c>
      <c r="CM83" s="13">
        <v>15.39</v>
      </c>
      <c r="CN83" s="13">
        <v>15.97</v>
      </c>
      <c r="CO83" s="13">
        <v>13.32</v>
      </c>
      <c r="CP83" s="13">
        <v>2.2999999999999998</v>
      </c>
      <c r="CQ83" s="13">
        <v>2.88</v>
      </c>
      <c r="CR83" s="13">
        <v>15.62</v>
      </c>
      <c r="CS83" s="13">
        <v>16.2</v>
      </c>
      <c r="CT83" s="13">
        <v>13.54</v>
      </c>
      <c r="CU83" s="13">
        <v>2.2999999999999998</v>
      </c>
      <c r="CV83" s="13">
        <v>2.88</v>
      </c>
      <c r="CW83" s="13">
        <v>15.84</v>
      </c>
      <c r="CX83" s="13">
        <v>16.420000000000002</v>
      </c>
      <c r="CY83" s="13">
        <v>13.77</v>
      </c>
      <c r="CZ83" s="13">
        <v>2.2999999999999998</v>
      </c>
      <c r="DA83" s="13">
        <v>2.88</v>
      </c>
      <c r="DB83" s="13">
        <v>16.07</v>
      </c>
      <c r="DC83" s="13">
        <v>16.649999999999999</v>
      </c>
      <c r="DD83" s="13">
        <v>14</v>
      </c>
      <c r="DE83" s="13">
        <v>2.2999999999999998</v>
      </c>
      <c r="DF83" s="13">
        <v>2.88</v>
      </c>
      <c r="DG83" s="13">
        <v>16.3</v>
      </c>
      <c r="DH83" s="13">
        <v>16.88</v>
      </c>
      <c r="DI83" s="13">
        <v>14.22</v>
      </c>
      <c r="DJ83" s="13">
        <v>2.2999999999999998</v>
      </c>
      <c r="DK83" s="13">
        <v>2.88</v>
      </c>
      <c r="DL83" s="13">
        <v>16.52</v>
      </c>
      <c r="DM83" s="13">
        <v>17.100000000000001</v>
      </c>
      <c r="DN83" s="13">
        <v>14.45</v>
      </c>
      <c r="DO83" s="13">
        <v>2.2999999999999998</v>
      </c>
      <c r="DP83" s="13">
        <v>2.88</v>
      </c>
      <c r="DQ83" s="13">
        <v>16.75</v>
      </c>
      <c r="DR83" s="13">
        <v>17.329999999999998</v>
      </c>
      <c r="DS83" s="13">
        <v>14.68</v>
      </c>
      <c r="DT83" s="13">
        <v>2.2999999999999998</v>
      </c>
      <c r="DU83" s="13">
        <v>2.88</v>
      </c>
      <c r="DV83" s="13">
        <v>16.98</v>
      </c>
      <c r="DW83" s="13">
        <v>17.559999999999999</v>
      </c>
    </row>
    <row r="84" spans="1:127" s="16" customFormat="1"/>
    <row r="85" spans="1:127" s="16" customFormat="1"/>
    <row r="86" spans="1:127" s="16" customFormat="1"/>
    <row r="87" spans="1:127" s="16" customFormat="1"/>
    <row r="88" spans="1:127" s="16" customFormat="1"/>
    <row r="89" spans="1:127" s="16" customFormat="1"/>
    <row r="90" spans="1:127" s="16" customFormat="1"/>
    <row r="91" spans="1:127" s="16" customFormat="1"/>
    <row r="92" spans="1:127" s="16" customFormat="1"/>
    <row r="93" spans="1:127" s="16" customFormat="1"/>
    <row r="94" spans="1:127" s="16" customFormat="1"/>
    <row r="95" spans="1:127" s="16" customFormat="1"/>
    <row r="96" spans="1:127" s="16" customFormat="1"/>
    <row r="97" s="16" customFormat="1"/>
    <row r="98" s="16" customFormat="1"/>
    <row r="99" s="16" customFormat="1"/>
    <row r="100" s="16" customFormat="1"/>
    <row r="101" s="16" customFormat="1"/>
    <row r="102" s="16" customFormat="1"/>
    <row r="103" s="16" customFormat="1"/>
    <row r="104" s="16" customFormat="1"/>
    <row r="105" s="16" customFormat="1"/>
    <row r="106" s="16" customFormat="1"/>
    <row r="107" s="16" customFormat="1"/>
    <row r="108" s="16" customFormat="1"/>
    <row r="109" s="16" customFormat="1"/>
    <row r="110" s="16" customFormat="1"/>
    <row r="111" s="16" customFormat="1"/>
    <row r="112" s="16" customFormat="1"/>
    <row r="113" s="16" customFormat="1"/>
    <row r="114" s="16" customFormat="1"/>
    <row r="115" s="16" customFormat="1"/>
    <row r="116" s="16" customFormat="1"/>
    <row r="117" s="16" customFormat="1"/>
    <row r="118" s="16" customFormat="1"/>
    <row r="119" s="16" customFormat="1"/>
    <row r="120" s="16" customFormat="1"/>
    <row r="121" s="16" customFormat="1"/>
    <row r="122" s="16" customFormat="1"/>
    <row r="123" s="16" customFormat="1"/>
    <row r="124" s="16" customFormat="1"/>
    <row r="125" s="16" customFormat="1"/>
    <row r="126" s="16" customFormat="1"/>
    <row r="127" s="16" customFormat="1"/>
    <row r="128" s="16" customFormat="1"/>
    <row r="129" s="16" customFormat="1"/>
    <row r="130" s="16" customFormat="1"/>
    <row r="131" s="16" customFormat="1"/>
    <row r="132" s="16" customFormat="1"/>
    <row r="133" s="16" customFormat="1"/>
    <row r="134" s="16" customFormat="1"/>
    <row r="135" s="16" customFormat="1"/>
    <row r="136" s="16" customFormat="1"/>
    <row r="137" s="16" customFormat="1"/>
    <row r="138" s="16" customFormat="1"/>
    <row r="139" s="16" customFormat="1"/>
    <row r="140" s="16" customFormat="1"/>
    <row r="141" s="16" customFormat="1"/>
    <row r="142" s="16" customFormat="1"/>
    <row r="143" s="16" customFormat="1"/>
    <row r="144" s="16" customFormat="1"/>
    <row r="145" s="16" customFormat="1"/>
    <row r="146" s="16" customFormat="1"/>
    <row r="147" s="16" customFormat="1"/>
    <row r="148" s="16" customFormat="1"/>
    <row r="149" s="16" customFormat="1"/>
    <row r="150" s="16" customFormat="1"/>
    <row r="151" s="16" customFormat="1"/>
    <row r="152" s="16" customFormat="1"/>
    <row r="153" s="16" customFormat="1"/>
    <row r="154" s="16" customFormat="1"/>
    <row r="155" s="16" customFormat="1"/>
    <row r="156" s="16" customFormat="1"/>
    <row r="157" s="16" customFormat="1"/>
    <row r="158" s="16" customFormat="1"/>
    <row r="159" s="16" customFormat="1"/>
    <row r="160" s="16" customFormat="1"/>
    <row r="161" s="16" customFormat="1"/>
    <row r="162" s="16" customFormat="1"/>
    <row r="163" s="16" customFormat="1"/>
    <row r="164" s="16" customFormat="1"/>
    <row r="165" s="16" customFormat="1"/>
    <row r="166" s="16" customFormat="1"/>
    <row r="167" s="16" customFormat="1"/>
    <row r="168" s="16" customFormat="1"/>
    <row r="169" s="16" customFormat="1"/>
    <row r="170" s="16" customFormat="1"/>
    <row r="171" s="16" customFormat="1"/>
    <row r="172" s="16" customFormat="1"/>
    <row r="173" s="16" customFormat="1"/>
    <row r="174" s="16" customFormat="1"/>
    <row r="175" s="16" customFormat="1"/>
    <row r="176" s="16" customFormat="1"/>
    <row r="177" s="16" customFormat="1"/>
    <row r="178" s="16" customFormat="1"/>
    <row r="179" s="16" customFormat="1"/>
    <row r="180" s="16" customFormat="1"/>
    <row r="181" s="16" customFormat="1"/>
    <row r="182" s="16" customFormat="1"/>
    <row r="183" s="16" customFormat="1"/>
    <row r="184" s="16" customFormat="1"/>
    <row r="185" s="16" customFormat="1"/>
    <row r="186" s="16" customFormat="1"/>
    <row r="187" s="16" customFormat="1"/>
    <row r="188" s="16" customFormat="1"/>
    <row r="189" s="16" customFormat="1"/>
    <row r="190" s="16" customFormat="1"/>
    <row r="191" s="16" customFormat="1"/>
    <row r="192" s="16" customFormat="1"/>
    <row r="193" s="16" customFormat="1"/>
    <row r="194" s="16" customFormat="1"/>
    <row r="195" s="16" customFormat="1"/>
    <row r="196" s="16" customFormat="1"/>
    <row r="197" s="16" customFormat="1"/>
    <row r="198" s="16" customFormat="1"/>
    <row r="199" s="16" customFormat="1"/>
    <row r="200" s="16" customFormat="1"/>
    <row r="201" s="16" customFormat="1"/>
    <row r="202" s="16" customFormat="1"/>
    <row r="203" s="16" customFormat="1"/>
    <row r="204" s="16" customFormat="1"/>
    <row r="205" s="16" customFormat="1"/>
    <row r="206" s="16" customFormat="1"/>
    <row r="207" s="16" customFormat="1"/>
    <row r="208" s="16" customFormat="1"/>
    <row r="209" s="16" customFormat="1"/>
    <row r="210" s="16" customFormat="1"/>
    <row r="211" s="16" customFormat="1"/>
    <row r="212" s="16" customFormat="1"/>
    <row r="213" s="16" customFormat="1"/>
    <row r="214" s="16" customFormat="1"/>
    <row r="215" s="16" customFormat="1"/>
    <row r="216" s="16" customFormat="1"/>
    <row r="217" s="16" customFormat="1"/>
    <row r="218" s="16" customFormat="1"/>
    <row r="219" s="16" customFormat="1"/>
    <row r="220" s="16" customFormat="1"/>
    <row r="221" s="16" customFormat="1"/>
    <row r="222" s="16" customFormat="1"/>
    <row r="223" s="16" customFormat="1"/>
    <row r="224" s="16" customFormat="1"/>
    <row r="225" s="16" customFormat="1"/>
    <row r="226" s="16" customFormat="1"/>
    <row r="227" s="16" customFormat="1"/>
    <row r="228" s="16" customFormat="1"/>
    <row r="229" s="16" customFormat="1"/>
    <row r="230" s="16" customFormat="1"/>
    <row r="231" s="16" customFormat="1"/>
    <row r="232" s="16" customFormat="1"/>
    <row r="233" s="16" customFormat="1"/>
    <row r="234" s="16" customFormat="1"/>
    <row r="235" s="16" customFormat="1"/>
    <row r="236" s="16" customFormat="1"/>
    <row r="237" s="16" customFormat="1"/>
    <row r="238" s="16" customFormat="1"/>
    <row r="239" s="16" customFormat="1"/>
    <row r="240" s="16" customFormat="1"/>
    <row r="241" s="16" customFormat="1"/>
    <row r="242" s="16" customFormat="1"/>
    <row r="243" s="16" customFormat="1"/>
    <row r="244" s="16" customFormat="1"/>
    <row r="245" s="16" customFormat="1"/>
    <row r="246" s="16" customFormat="1"/>
    <row r="247" s="16" customFormat="1"/>
    <row r="248" s="16" customFormat="1"/>
    <row r="249" s="16" customFormat="1"/>
    <row r="250" s="16" customFormat="1"/>
    <row r="251" s="16" customFormat="1"/>
    <row r="252" s="16" customFormat="1"/>
    <row r="253" s="16" customFormat="1"/>
    <row r="254" s="16" customFormat="1"/>
    <row r="255" s="16" customFormat="1"/>
    <row r="256" s="16" customFormat="1"/>
    <row r="257" s="16" customFormat="1"/>
    <row r="258" s="16" customFormat="1"/>
    <row r="259" s="16" customFormat="1"/>
    <row r="260" s="16" customFormat="1"/>
    <row r="261" s="16" customFormat="1"/>
    <row r="262" s="16" customFormat="1"/>
    <row r="263" s="16" customFormat="1"/>
    <row r="264" s="16" customFormat="1"/>
    <row r="265" s="16" customFormat="1"/>
    <row r="266" s="16" customFormat="1"/>
    <row r="267" s="16" customFormat="1"/>
    <row r="268" s="16" customFormat="1"/>
    <row r="269" s="16" customFormat="1"/>
    <row r="270" s="16" customFormat="1"/>
    <row r="271" s="16" customFormat="1"/>
    <row r="272" s="16" customFormat="1"/>
    <row r="273" s="16" customFormat="1"/>
    <row r="274" s="16" customFormat="1"/>
    <row r="275" s="16" customFormat="1"/>
    <row r="276" s="16" customFormat="1"/>
    <row r="277" s="16" customFormat="1"/>
    <row r="278" s="16" customFormat="1"/>
    <row r="279" s="16" customFormat="1"/>
    <row r="280" s="16" customFormat="1"/>
    <row r="281" s="16" customFormat="1"/>
    <row r="282" s="16" customFormat="1"/>
    <row r="283" s="16" customFormat="1"/>
    <row r="284" s="16" customFormat="1"/>
    <row r="285" s="16" customFormat="1"/>
    <row r="286" s="16" customFormat="1"/>
    <row r="287" s="16" customFormat="1"/>
    <row r="288" s="16" customFormat="1"/>
    <row r="289" s="16" customFormat="1"/>
    <row r="290" s="16" customFormat="1"/>
    <row r="291" s="16" customFormat="1"/>
    <row r="292" s="16" customFormat="1"/>
    <row r="293" s="16" customFormat="1"/>
    <row r="294" s="16" customFormat="1"/>
    <row r="295" s="16" customFormat="1"/>
    <row r="296" s="16" customFormat="1"/>
    <row r="297" s="16" customFormat="1"/>
    <row r="298" s="16" customFormat="1"/>
  </sheetData>
  <mergeCells count="80">
    <mergeCell ref="U4:V5"/>
    <mergeCell ref="M4:M6"/>
    <mergeCell ref="N4:O5"/>
    <mergeCell ref="P4:Q5"/>
    <mergeCell ref="R4:R6"/>
    <mergeCell ref="S4:T5"/>
    <mergeCell ref="DQ4:DR5"/>
    <mergeCell ref="DS4:DS6"/>
    <mergeCell ref="DT4:DU5"/>
    <mergeCell ref="DV4:DW5"/>
    <mergeCell ref="DI4:DI6"/>
    <mergeCell ref="DJ4:DK5"/>
    <mergeCell ref="DL4:DM5"/>
    <mergeCell ref="DN4:DN6"/>
    <mergeCell ref="DO4:DP5"/>
    <mergeCell ref="CZ4:DA5"/>
    <mergeCell ref="DB4:DC5"/>
    <mergeCell ref="DD4:DD6"/>
    <mergeCell ref="DE4:DF5"/>
    <mergeCell ref="DG4:DH5"/>
    <mergeCell ref="CR4:CS5"/>
    <mergeCell ref="CT4:CT6"/>
    <mergeCell ref="CU4:CV5"/>
    <mergeCell ref="CW4:CX5"/>
    <mergeCell ref="CY4:CY6"/>
    <mergeCell ref="CJ4:CJ6"/>
    <mergeCell ref="CK4:CL5"/>
    <mergeCell ref="CM4:CN5"/>
    <mergeCell ref="CO4:CO6"/>
    <mergeCell ref="CP4:CQ5"/>
    <mergeCell ref="W4:W6"/>
    <mergeCell ref="X4:Y5"/>
    <mergeCell ref="Z4:AA5"/>
    <mergeCell ref="AQ4:AQ6"/>
    <mergeCell ref="AR4:AS5"/>
    <mergeCell ref="AG4:AG6"/>
    <mergeCell ref="AH4:AI5"/>
    <mergeCell ref="AJ4:AK5"/>
    <mergeCell ref="AB4:AB6"/>
    <mergeCell ref="AC4:AD5"/>
    <mergeCell ref="AE4:AF5"/>
    <mergeCell ref="AT4:AU5"/>
    <mergeCell ref="AL4:AL6"/>
    <mergeCell ref="AM4:AN5"/>
    <mergeCell ref="AO4:AP5"/>
    <mergeCell ref="BG4:BH5"/>
    <mergeCell ref="BI4:BJ5"/>
    <mergeCell ref="AY4:AZ5"/>
    <mergeCell ref="BA4:BA6"/>
    <mergeCell ref="BB4:BC5"/>
    <mergeCell ref="BD4:BE5"/>
    <mergeCell ref="BF4:BF6"/>
    <mergeCell ref="A1:H1"/>
    <mergeCell ref="J1:BT1"/>
    <mergeCell ref="J4:J6"/>
    <mergeCell ref="K4:K6"/>
    <mergeCell ref="L4:L6"/>
    <mergeCell ref="BP4:BP6"/>
    <mergeCell ref="BQ4:BR5"/>
    <mergeCell ref="BS4:BT5"/>
    <mergeCell ref="G4:H5"/>
    <mergeCell ref="A4:A6"/>
    <mergeCell ref="B4:B6"/>
    <mergeCell ref="C4:C6"/>
    <mergeCell ref="AV4:AV6"/>
    <mergeCell ref="D4:D6"/>
    <mergeCell ref="E4:F5"/>
    <mergeCell ref="AW4:AX5"/>
    <mergeCell ref="CC4:CD5"/>
    <mergeCell ref="CE4:CE6"/>
    <mergeCell ref="CF4:CG5"/>
    <mergeCell ref="CH4:CI5"/>
    <mergeCell ref="BK4:BK6"/>
    <mergeCell ref="BL4:BM5"/>
    <mergeCell ref="BN4:BO5"/>
    <mergeCell ref="BZ4:BZ6"/>
    <mergeCell ref="CA4:CB5"/>
    <mergeCell ref="BU4:BU6"/>
    <mergeCell ref="BV4:BW5"/>
    <mergeCell ref="BX4:BY5"/>
  </mergeCells>
  <printOptions horizontalCentered="1"/>
  <pageMargins left="0.51181102362204722" right="0" top="0.55118110236220474" bottom="0" header="0" footer="0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7030A0"/>
  </sheetPr>
  <dimension ref="A1:BO732"/>
  <sheetViews>
    <sheetView topLeftCell="AL1" workbookViewId="0">
      <selection activeCell="BO13" sqref="BO13"/>
    </sheetView>
  </sheetViews>
  <sheetFormatPr defaultRowHeight="21"/>
  <cols>
    <col min="1" max="1" width="6.625" style="268" customWidth="1"/>
    <col min="2" max="2" width="8.625" style="268" customWidth="1"/>
    <col min="3" max="3" width="10.625" style="268" customWidth="1"/>
    <col min="4" max="4" width="4.625" style="268" customWidth="1"/>
    <col min="5" max="5" width="6.75" style="268" customWidth="1"/>
    <col min="6" max="6" width="8.75" style="268" customWidth="1"/>
    <col min="7" max="7" width="10.75" style="268" customWidth="1"/>
    <col min="8" max="8" width="1.75" style="268" customWidth="1"/>
    <col min="9" max="9" width="6.75" style="268" customWidth="1"/>
    <col min="10" max="10" width="8.75" style="268" customWidth="1"/>
    <col min="11" max="11" width="10.75" style="268" customWidth="1"/>
    <col min="12" max="12" width="1.75" style="268" customWidth="1"/>
    <col min="13" max="13" width="6.625" style="268" customWidth="1"/>
    <col min="14" max="14" width="8.625" style="268" customWidth="1"/>
    <col min="15" max="15" width="10.625" style="268" customWidth="1"/>
    <col min="16" max="16" width="0.875" style="268" customWidth="1"/>
    <col min="17" max="17" width="6.625" style="268" customWidth="1"/>
    <col min="18" max="18" width="8.625" style="268" customWidth="1"/>
    <col min="19" max="19" width="10.625" style="268" customWidth="1"/>
    <col min="20" max="20" width="0.875" style="268" customWidth="1"/>
    <col min="21" max="21" width="6.625" style="268" customWidth="1"/>
    <col min="22" max="22" width="8.625" style="268" customWidth="1"/>
    <col min="23" max="23" width="10.625" style="268" customWidth="1"/>
    <col min="24" max="24" width="0.875" style="268" customWidth="1"/>
    <col min="25" max="25" width="6.625" style="268" customWidth="1"/>
    <col min="26" max="26" width="8.625" style="268" customWidth="1"/>
    <col min="27" max="27" width="10.625" style="268" customWidth="1"/>
    <col min="28" max="28" width="0.875" style="268" customWidth="1"/>
    <col min="29" max="29" width="6.625" style="268" customWidth="1"/>
    <col min="30" max="30" width="8.625" style="268" customWidth="1"/>
    <col min="31" max="31" width="10.625" style="268" customWidth="1"/>
    <col min="32" max="32" width="0.875" style="268" customWidth="1"/>
    <col min="33" max="33" width="6.625" style="268" customWidth="1"/>
    <col min="34" max="34" width="8.625" style="268" customWidth="1"/>
    <col min="35" max="35" width="10.625" style="268" customWidth="1"/>
    <col min="36" max="36" width="0.875" style="268" customWidth="1"/>
    <col min="37" max="37" width="6.625" style="268" customWidth="1"/>
    <col min="38" max="38" width="8.625" style="268" customWidth="1"/>
    <col min="39" max="39" width="10.625" style="268" customWidth="1"/>
    <col min="40" max="40" width="0.875" style="268" customWidth="1"/>
    <col min="41" max="41" width="6.625" style="268" customWidth="1"/>
    <col min="42" max="42" width="8.625" style="268" customWidth="1"/>
    <col min="43" max="43" width="10.625" style="268" customWidth="1"/>
    <col min="44" max="44" width="0.875" style="268" customWidth="1"/>
    <col min="45" max="45" width="6.625" style="268" customWidth="1"/>
    <col min="46" max="46" width="8.625" style="268" customWidth="1"/>
    <col min="47" max="47" width="10.625" style="268" customWidth="1"/>
    <col min="48" max="48" width="0.875" style="268" customWidth="1"/>
    <col min="49" max="49" width="6.625" style="268" customWidth="1"/>
    <col min="50" max="50" width="8.625" style="268" customWidth="1"/>
    <col min="51" max="51" width="10.625" style="268" customWidth="1"/>
    <col min="52" max="52" width="0.875" style="268" customWidth="1"/>
    <col min="53" max="53" width="6.625" style="268" customWidth="1"/>
    <col min="54" max="54" width="8.625" style="268" customWidth="1"/>
    <col min="55" max="55" width="10.625" style="268" customWidth="1"/>
    <col min="56" max="56" width="0.875" style="268" customWidth="1"/>
    <col min="57" max="57" width="6.625" style="268" customWidth="1"/>
    <col min="58" max="58" width="8.625" style="268" customWidth="1"/>
    <col min="59" max="59" width="10.625" style="268" customWidth="1"/>
    <col min="60" max="60" width="0.875" style="268" customWidth="1"/>
    <col min="61" max="61" width="6.625" style="268" customWidth="1"/>
    <col min="62" max="62" width="8.625" style="268" customWidth="1"/>
    <col min="63" max="63" width="10.625" style="268" customWidth="1"/>
    <col min="64" max="64" width="0.875" style="268" customWidth="1"/>
    <col min="65" max="67" width="9" style="252"/>
    <col min="68" max="300" width="9" style="253"/>
    <col min="301" max="301" width="6.25" style="253" customWidth="1"/>
    <col min="302" max="302" width="8.75" style="253" customWidth="1"/>
    <col min="303" max="303" width="10.125" style="253" customWidth="1"/>
    <col min="304" max="304" width="3.875" style="253" customWidth="1"/>
    <col min="305" max="305" width="6" style="253" customWidth="1"/>
    <col min="306" max="306" width="9.25" style="253" customWidth="1"/>
    <col min="307" max="307" width="10.125" style="253" customWidth="1"/>
    <col min="308" max="308" width="5" style="253" customWidth="1"/>
    <col min="309" max="309" width="5.75" style="253" customWidth="1"/>
    <col min="310" max="310" width="9" style="253" customWidth="1"/>
    <col min="311" max="311" width="10.375" style="253" customWidth="1"/>
    <col min="312" max="312" width="3.375" style="253" customWidth="1"/>
    <col min="313" max="313" width="6.375" style="253" customWidth="1"/>
    <col min="314" max="314" width="9.75" style="253" customWidth="1"/>
    <col min="315" max="315" width="11.25" style="253" customWidth="1"/>
    <col min="316" max="316" width="4" style="253" customWidth="1"/>
    <col min="317" max="317" width="6.375" style="253" customWidth="1"/>
    <col min="318" max="318" width="9.375" style="253" customWidth="1"/>
    <col min="319" max="319" width="10.375" style="253" customWidth="1"/>
    <col min="320" max="320" width="3.375" style="253" customWidth="1"/>
    <col min="321" max="321" width="5.875" style="253" customWidth="1"/>
    <col min="322" max="322" width="9.25" style="253" customWidth="1"/>
    <col min="323" max="323" width="10.375" style="253" customWidth="1"/>
    <col min="324" max="556" width="9" style="253"/>
    <col min="557" max="557" width="6.25" style="253" customWidth="1"/>
    <col min="558" max="558" width="8.75" style="253" customWidth="1"/>
    <col min="559" max="559" width="10.125" style="253" customWidth="1"/>
    <col min="560" max="560" width="3.875" style="253" customWidth="1"/>
    <col min="561" max="561" width="6" style="253" customWidth="1"/>
    <col min="562" max="562" width="9.25" style="253" customWidth="1"/>
    <col min="563" max="563" width="10.125" style="253" customWidth="1"/>
    <col min="564" max="564" width="5" style="253" customWidth="1"/>
    <col min="565" max="565" width="5.75" style="253" customWidth="1"/>
    <col min="566" max="566" width="9" style="253" customWidth="1"/>
    <col min="567" max="567" width="10.375" style="253" customWidth="1"/>
    <col min="568" max="568" width="3.375" style="253" customWidth="1"/>
    <col min="569" max="569" width="6.375" style="253" customWidth="1"/>
    <col min="570" max="570" width="9.75" style="253" customWidth="1"/>
    <col min="571" max="571" width="11.25" style="253" customWidth="1"/>
    <col min="572" max="572" width="4" style="253" customWidth="1"/>
    <col min="573" max="573" width="6.375" style="253" customWidth="1"/>
    <col min="574" max="574" width="9.375" style="253" customWidth="1"/>
    <col min="575" max="575" width="10.375" style="253" customWidth="1"/>
    <col min="576" max="576" width="3.375" style="253" customWidth="1"/>
    <col min="577" max="577" width="5.875" style="253" customWidth="1"/>
    <col min="578" max="578" width="9.25" style="253" customWidth="1"/>
    <col min="579" max="579" width="10.375" style="253" customWidth="1"/>
    <col min="580" max="812" width="9" style="253"/>
    <col min="813" max="813" width="6.25" style="253" customWidth="1"/>
    <col min="814" max="814" width="8.75" style="253" customWidth="1"/>
    <col min="815" max="815" width="10.125" style="253" customWidth="1"/>
    <col min="816" max="816" width="3.875" style="253" customWidth="1"/>
    <col min="817" max="817" width="6" style="253" customWidth="1"/>
    <col min="818" max="818" width="9.25" style="253" customWidth="1"/>
    <col min="819" max="819" width="10.125" style="253" customWidth="1"/>
    <col min="820" max="820" width="5" style="253" customWidth="1"/>
    <col min="821" max="821" width="5.75" style="253" customWidth="1"/>
    <col min="822" max="822" width="9" style="253" customWidth="1"/>
    <col min="823" max="823" width="10.375" style="253" customWidth="1"/>
    <col min="824" max="824" width="3.375" style="253" customWidth="1"/>
    <col min="825" max="825" width="6.375" style="253" customWidth="1"/>
    <col min="826" max="826" width="9.75" style="253" customWidth="1"/>
    <col min="827" max="827" width="11.25" style="253" customWidth="1"/>
    <col min="828" max="828" width="4" style="253" customWidth="1"/>
    <col min="829" max="829" width="6.375" style="253" customWidth="1"/>
    <col min="830" max="830" width="9.375" style="253" customWidth="1"/>
    <col min="831" max="831" width="10.375" style="253" customWidth="1"/>
    <col min="832" max="832" width="3.375" style="253" customWidth="1"/>
    <col min="833" max="833" width="5.875" style="253" customWidth="1"/>
    <col min="834" max="834" width="9.25" style="253" customWidth="1"/>
    <col min="835" max="835" width="10.375" style="253" customWidth="1"/>
    <col min="836" max="1068" width="9" style="253"/>
    <col min="1069" max="1069" width="6.25" style="253" customWidth="1"/>
    <col min="1070" max="1070" width="8.75" style="253" customWidth="1"/>
    <col min="1071" max="1071" width="10.125" style="253" customWidth="1"/>
    <col min="1072" max="1072" width="3.875" style="253" customWidth="1"/>
    <col min="1073" max="1073" width="6" style="253" customWidth="1"/>
    <col min="1074" max="1074" width="9.25" style="253" customWidth="1"/>
    <col min="1075" max="1075" width="10.125" style="253" customWidth="1"/>
    <col min="1076" max="1076" width="5" style="253" customWidth="1"/>
    <col min="1077" max="1077" width="5.75" style="253" customWidth="1"/>
    <col min="1078" max="1078" width="9" style="253" customWidth="1"/>
    <col min="1079" max="1079" width="10.375" style="253" customWidth="1"/>
    <col min="1080" max="1080" width="3.375" style="253" customWidth="1"/>
    <col min="1081" max="1081" width="6.375" style="253" customWidth="1"/>
    <col min="1082" max="1082" width="9.75" style="253" customWidth="1"/>
    <col min="1083" max="1083" width="11.25" style="253" customWidth="1"/>
    <col min="1084" max="1084" width="4" style="253" customWidth="1"/>
    <col min="1085" max="1085" width="6.375" style="253" customWidth="1"/>
    <col min="1086" max="1086" width="9.375" style="253" customWidth="1"/>
    <col min="1087" max="1087" width="10.375" style="253" customWidth="1"/>
    <col min="1088" max="1088" width="3.375" style="253" customWidth="1"/>
    <col min="1089" max="1089" width="5.875" style="253" customWidth="1"/>
    <col min="1090" max="1090" width="9.25" style="253" customWidth="1"/>
    <col min="1091" max="1091" width="10.375" style="253" customWidth="1"/>
    <col min="1092" max="1324" width="9" style="253"/>
    <col min="1325" max="1325" width="6.25" style="253" customWidth="1"/>
    <col min="1326" max="1326" width="8.75" style="253" customWidth="1"/>
    <col min="1327" max="1327" width="10.125" style="253" customWidth="1"/>
    <col min="1328" max="1328" width="3.875" style="253" customWidth="1"/>
    <col min="1329" max="1329" width="6" style="253" customWidth="1"/>
    <col min="1330" max="1330" width="9.25" style="253" customWidth="1"/>
    <col min="1331" max="1331" width="10.125" style="253" customWidth="1"/>
    <col min="1332" max="1332" width="5" style="253" customWidth="1"/>
    <col min="1333" max="1333" width="5.75" style="253" customWidth="1"/>
    <col min="1334" max="1334" width="9" style="253" customWidth="1"/>
    <col min="1335" max="1335" width="10.375" style="253" customWidth="1"/>
    <col min="1336" max="1336" width="3.375" style="253" customWidth="1"/>
    <col min="1337" max="1337" width="6.375" style="253" customWidth="1"/>
    <col min="1338" max="1338" width="9.75" style="253" customWidth="1"/>
    <col min="1339" max="1339" width="11.25" style="253" customWidth="1"/>
    <col min="1340" max="1340" width="4" style="253" customWidth="1"/>
    <col min="1341" max="1341" width="6.375" style="253" customWidth="1"/>
    <col min="1342" max="1342" width="9.375" style="253" customWidth="1"/>
    <col min="1343" max="1343" width="10.375" style="253" customWidth="1"/>
    <col min="1344" max="1344" width="3.375" style="253" customWidth="1"/>
    <col min="1345" max="1345" width="5.875" style="253" customWidth="1"/>
    <col min="1346" max="1346" width="9.25" style="253" customWidth="1"/>
    <col min="1347" max="1347" width="10.375" style="253" customWidth="1"/>
    <col min="1348" max="1580" width="9" style="253"/>
    <col min="1581" max="1581" width="6.25" style="253" customWidth="1"/>
    <col min="1582" max="1582" width="8.75" style="253" customWidth="1"/>
    <col min="1583" max="1583" width="10.125" style="253" customWidth="1"/>
    <col min="1584" max="1584" width="3.875" style="253" customWidth="1"/>
    <col min="1585" max="1585" width="6" style="253" customWidth="1"/>
    <col min="1586" max="1586" width="9.25" style="253" customWidth="1"/>
    <col min="1587" max="1587" width="10.125" style="253" customWidth="1"/>
    <col min="1588" max="1588" width="5" style="253" customWidth="1"/>
    <col min="1589" max="1589" width="5.75" style="253" customWidth="1"/>
    <col min="1590" max="1590" width="9" style="253" customWidth="1"/>
    <col min="1591" max="1591" width="10.375" style="253" customWidth="1"/>
    <col min="1592" max="1592" width="3.375" style="253" customWidth="1"/>
    <col min="1593" max="1593" width="6.375" style="253" customWidth="1"/>
    <col min="1594" max="1594" width="9.75" style="253" customWidth="1"/>
    <col min="1595" max="1595" width="11.25" style="253" customWidth="1"/>
    <col min="1596" max="1596" width="4" style="253" customWidth="1"/>
    <col min="1597" max="1597" width="6.375" style="253" customWidth="1"/>
    <col min="1598" max="1598" width="9.375" style="253" customWidth="1"/>
    <col min="1599" max="1599" width="10.375" style="253" customWidth="1"/>
    <col min="1600" max="1600" width="3.375" style="253" customWidth="1"/>
    <col min="1601" max="1601" width="5.875" style="253" customWidth="1"/>
    <col min="1602" max="1602" width="9.25" style="253" customWidth="1"/>
    <col min="1603" max="1603" width="10.375" style="253" customWidth="1"/>
    <col min="1604" max="1836" width="9" style="253"/>
    <col min="1837" max="1837" width="6.25" style="253" customWidth="1"/>
    <col min="1838" max="1838" width="8.75" style="253" customWidth="1"/>
    <col min="1839" max="1839" width="10.125" style="253" customWidth="1"/>
    <col min="1840" max="1840" width="3.875" style="253" customWidth="1"/>
    <col min="1841" max="1841" width="6" style="253" customWidth="1"/>
    <col min="1842" max="1842" width="9.25" style="253" customWidth="1"/>
    <col min="1843" max="1843" width="10.125" style="253" customWidth="1"/>
    <col min="1844" max="1844" width="5" style="253" customWidth="1"/>
    <col min="1845" max="1845" width="5.75" style="253" customWidth="1"/>
    <col min="1846" max="1846" width="9" style="253" customWidth="1"/>
    <col min="1847" max="1847" width="10.375" style="253" customWidth="1"/>
    <col min="1848" max="1848" width="3.375" style="253" customWidth="1"/>
    <col min="1849" max="1849" width="6.375" style="253" customWidth="1"/>
    <col min="1850" max="1850" width="9.75" style="253" customWidth="1"/>
    <col min="1851" max="1851" width="11.25" style="253" customWidth="1"/>
    <col min="1852" max="1852" width="4" style="253" customWidth="1"/>
    <col min="1853" max="1853" width="6.375" style="253" customWidth="1"/>
    <col min="1854" max="1854" width="9.375" style="253" customWidth="1"/>
    <col min="1855" max="1855" width="10.375" style="253" customWidth="1"/>
    <col min="1856" max="1856" width="3.375" style="253" customWidth="1"/>
    <col min="1857" max="1857" width="5.875" style="253" customWidth="1"/>
    <col min="1858" max="1858" width="9.25" style="253" customWidth="1"/>
    <col min="1859" max="1859" width="10.375" style="253" customWidth="1"/>
    <col min="1860" max="2092" width="9" style="253"/>
    <col min="2093" max="2093" width="6.25" style="253" customWidth="1"/>
    <col min="2094" max="2094" width="8.75" style="253" customWidth="1"/>
    <col min="2095" max="2095" width="10.125" style="253" customWidth="1"/>
    <col min="2096" max="2096" width="3.875" style="253" customWidth="1"/>
    <col min="2097" max="2097" width="6" style="253" customWidth="1"/>
    <col min="2098" max="2098" width="9.25" style="253" customWidth="1"/>
    <col min="2099" max="2099" width="10.125" style="253" customWidth="1"/>
    <col min="2100" max="2100" width="5" style="253" customWidth="1"/>
    <col min="2101" max="2101" width="5.75" style="253" customWidth="1"/>
    <col min="2102" max="2102" width="9" style="253" customWidth="1"/>
    <col min="2103" max="2103" width="10.375" style="253" customWidth="1"/>
    <col min="2104" max="2104" width="3.375" style="253" customWidth="1"/>
    <col min="2105" max="2105" width="6.375" style="253" customWidth="1"/>
    <col min="2106" max="2106" width="9.75" style="253" customWidth="1"/>
    <col min="2107" max="2107" width="11.25" style="253" customWidth="1"/>
    <col min="2108" max="2108" width="4" style="253" customWidth="1"/>
    <col min="2109" max="2109" width="6.375" style="253" customWidth="1"/>
    <col min="2110" max="2110" width="9.375" style="253" customWidth="1"/>
    <col min="2111" max="2111" width="10.375" style="253" customWidth="1"/>
    <col min="2112" max="2112" width="3.375" style="253" customWidth="1"/>
    <col min="2113" max="2113" width="5.875" style="253" customWidth="1"/>
    <col min="2114" max="2114" width="9.25" style="253" customWidth="1"/>
    <col min="2115" max="2115" width="10.375" style="253" customWidth="1"/>
    <col min="2116" max="2348" width="9" style="253"/>
    <col min="2349" max="2349" width="6.25" style="253" customWidth="1"/>
    <col min="2350" max="2350" width="8.75" style="253" customWidth="1"/>
    <col min="2351" max="2351" width="10.125" style="253" customWidth="1"/>
    <col min="2352" max="2352" width="3.875" style="253" customWidth="1"/>
    <col min="2353" max="2353" width="6" style="253" customWidth="1"/>
    <col min="2354" max="2354" width="9.25" style="253" customWidth="1"/>
    <col min="2355" max="2355" width="10.125" style="253" customWidth="1"/>
    <col min="2356" max="2356" width="5" style="253" customWidth="1"/>
    <col min="2357" max="2357" width="5.75" style="253" customWidth="1"/>
    <col min="2358" max="2358" width="9" style="253" customWidth="1"/>
    <col min="2359" max="2359" width="10.375" style="253" customWidth="1"/>
    <col min="2360" max="2360" width="3.375" style="253" customWidth="1"/>
    <col min="2361" max="2361" width="6.375" style="253" customWidth="1"/>
    <col min="2362" max="2362" width="9.75" style="253" customWidth="1"/>
    <col min="2363" max="2363" width="11.25" style="253" customWidth="1"/>
    <col min="2364" max="2364" width="4" style="253" customWidth="1"/>
    <col min="2365" max="2365" width="6.375" style="253" customWidth="1"/>
    <col min="2366" max="2366" width="9.375" style="253" customWidth="1"/>
    <col min="2367" max="2367" width="10.375" style="253" customWidth="1"/>
    <col min="2368" max="2368" width="3.375" style="253" customWidth="1"/>
    <col min="2369" max="2369" width="5.875" style="253" customWidth="1"/>
    <col min="2370" max="2370" width="9.25" style="253" customWidth="1"/>
    <col min="2371" max="2371" width="10.375" style="253" customWidth="1"/>
    <col min="2372" max="2604" width="9" style="253"/>
    <col min="2605" max="2605" width="6.25" style="253" customWidth="1"/>
    <col min="2606" max="2606" width="8.75" style="253" customWidth="1"/>
    <col min="2607" max="2607" width="10.125" style="253" customWidth="1"/>
    <col min="2608" max="2608" width="3.875" style="253" customWidth="1"/>
    <col min="2609" max="2609" width="6" style="253" customWidth="1"/>
    <col min="2610" max="2610" width="9.25" style="253" customWidth="1"/>
    <col min="2611" max="2611" width="10.125" style="253" customWidth="1"/>
    <col min="2612" max="2612" width="5" style="253" customWidth="1"/>
    <col min="2613" max="2613" width="5.75" style="253" customWidth="1"/>
    <col min="2614" max="2614" width="9" style="253" customWidth="1"/>
    <col min="2615" max="2615" width="10.375" style="253" customWidth="1"/>
    <col min="2616" max="2616" width="3.375" style="253" customWidth="1"/>
    <col min="2617" max="2617" width="6.375" style="253" customWidth="1"/>
    <col min="2618" max="2618" width="9.75" style="253" customWidth="1"/>
    <col min="2619" max="2619" width="11.25" style="253" customWidth="1"/>
    <col min="2620" max="2620" width="4" style="253" customWidth="1"/>
    <col min="2621" max="2621" width="6.375" style="253" customWidth="1"/>
    <col min="2622" max="2622" width="9.375" style="253" customWidth="1"/>
    <col min="2623" max="2623" width="10.375" style="253" customWidth="1"/>
    <col min="2624" max="2624" width="3.375" style="253" customWidth="1"/>
    <col min="2625" max="2625" width="5.875" style="253" customWidth="1"/>
    <col min="2626" max="2626" width="9.25" style="253" customWidth="1"/>
    <col min="2627" max="2627" width="10.375" style="253" customWidth="1"/>
    <col min="2628" max="2860" width="9" style="253"/>
    <col min="2861" max="2861" width="6.25" style="253" customWidth="1"/>
    <col min="2862" max="2862" width="8.75" style="253" customWidth="1"/>
    <col min="2863" max="2863" width="10.125" style="253" customWidth="1"/>
    <col min="2864" max="2864" width="3.875" style="253" customWidth="1"/>
    <col min="2865" max="2865" width="6" style="253" customWidth="1"/>
    <col min="2866" max="2866" width="9.25" style="253" customWidth="1"/>
    <col min="2867" max="2867" width="10.125" style="253" customWidth="1"/>
    <col min="2868" max="2868" width="5" style="253" customWidth="1"/>
    <col min="2869" max="2869" width="5.75" style="253" customWidth="1"/>
    <col min="2870" max="2870" width="9" style="253" customWidth="1"/>
    <col min="2871" max="2871" width="10.375" style="253" customWidth="1"/>
    <col min="2872" max="2872" width="3.375" style="253" customWidth="1"/>
    <col min="2873" max="2873" width="6.375" style="253" customWidth="1"/>
    <col min="2874" max="2874" width="9.75" style="253" customWidth="1"/>
    <col min="2875" max="2875" width="11.25" style="253" customWidth="1"/>
    <col min="2876" max="2876" width="4" style="253" customWidth="1"/>
    <col min="2877" max="2877" width="6.375" style="253" customWidth="1"/>
    <col min="2878" max="2878" width="9.375" style="253" customWidth="1"/>
    <col min="2879" max="2879" width="10.375" style="253" customWidth="1"/>
    <col min="2880" max="2880" width="3.375" style="253" customWidth="1"/>
    <col min="2881" max="2881" width="5.875" style="253" customWidth="1"/>
    <col min="2882" max="2882" width="9.25" style="253" customWidth="1"/>
    <col min="2883" max="2883" width="10.375" style="253" customWidth="1"/>
    <col min="2884" max="3116" width="9" style="253"/>
    <col min="3117" max="3117" width="6.25" style="253" customWidth="1"/>
    <col min="3118" max="3118" width="8.75" style="253" customWidth="1"/>
    <col min="3119" max="3119" width="10.125" style="253" customWidth="1"/>
    <col min="3120" max="3120" width="3.875" style="253" customWidth="1"/>
    <col min="3121" max="3121" width="6" style="253" customWidth="1"/>
    <col min="3122" max="3122" width="9.25" style="253" customWidth="1"/>
    <col min="3123" max="3123" width="10.125" style="253" customWidth="1"/>
    <col min="3124" max="3124" width="5" style="253" customWidth="1"/>
    <col min="3125" max="3125" width="5.75" style="253" customWidth="1"/>
    <col min="3126" max="3126" width="9" style="253" customWidth="1"/>
    <col min="3127" max="3127" width="10.375" style="253" customWidth="1"/>
    <col min="3128" max="3128" width="3.375" style="253" customWidth="1"/>
    <col min="3129" max="3129" width="6.375" style="253" customWidth="1"/>
    <col min="3130" max="3130" width="9.75" style="253" customWidth="1"/>
    <col min="3131" max="3131" width="11.25" style="253" customWidth="1"/>
    <col min="3132" max="3132" width="4" style="253" customWidth="1"/>
    <col min="3133" max="3133" width="6.375" style="253" customWidth="1"/>
    <col min="3134" max="3134" width="9.375" style="253" customWidth="1"/>
    <col min="3135" max="3135" width="10.375" style="253" customWidth="1"/>
    <col min="3136" max="3136" width="3.375" style="253" customWidth="1"/>
    <col min="3137" max="3137" width="5.875" style="253" customWidth="1"/>
    <col min="3138" max="3138" width="9.25" style="253" customWidth="1"/>
    <col min="3139" max="3139" width="10.375" style="253" customWidth="1"/>
    <col min="3140" max="3372" width="9" style="253"/>
    <col min="3373" max="3373" width="6.25" style="253" customWidth="1"/>
    <col min="3374" max="3374" width="8.75" style="253" customWidth="1"/>
    <col min="3375" max="3375" width="10.125" style="253" customWidth="1"/>
    <col min="3376" max="3376" width="3.875" style="253" customWidth="1"/>
    <col min="3377" max="3377" width="6" style="253" customWidth="1"/>
    <col min="3378" max="3378" width="9.25" style="253" customWidth="1"/>
    <col min="3379" max="3379" width="10.125" style="253" customWidth="1"/>
    <col min="3380" max="3380" width="5" style="253" customWidth="1"/>
    <col min="3381" max="3381" width="5.75" style="253" customWidth="1"/>
    <col min="3382" max="3382" width="9" style="253" customWidth="1"/>
    <col min="3383" max="3383" width="10.375" style="253" customWidth="1"/>
    <col min="3384" max="3384" width="3.375" style="253" customWidth="1"/>
    <col min="3385" max="3385" width="6.375" style="253" customWidth="1"/>
    <col min="3386" max="3386" width="9.75" style="253" customWidth="1"/>
    <col min="3387" max="3387" width="11.25" style="253" customWidth="1"/>
    <col min="3388" max="3388" width="4" style="253" customWidth="1"/>
    <col min="3389" max="3389" width="6.375" style="253" customWidth="1"/>
    <col min="3390" max="3390" width="9.375" style="253" customWidth="1"/>
    <col min="3391" max="3391" width="10.375" style="253" customWidth="1"/>
    <col min="3392" max="3392" width="3.375" style="253" customWidth="1"/>
    <col min="3393" max="3393" width="5.875" style="253" customWidth="1"/>
    <col min="3394" max="3394" width="9.25" style="253" customWidth="1"/>
    <col min="3395" max="3395" width="10.375" style="253" customWidth="1"/>
    <col min="3396" max="3628" width="9" style="253"/>
    <col min="3629" max="3629" width="6.25" style="253" customWidth="1"/>
    <col min="3630" max="3630" width="8.75" style="253" customWidth="1"/>
    <col min="3631" max="3631" width="10.125" style="253" customWidth="1"/>
    <col min="3632" max="3632" width="3.875" style="253" customWidth="1"/>
    <col min="3633" max="3633" width="6" style="253" customWidth="1"/>
    <col min="3634" max="3634" width="9.25" style="253" customWidth="1"/>
    <col min="3635" max="3635" width="10.125" style="253" customWidth="1"/>
    <col min="3636" max="3636" width="5" style="253" customWidth="1"/>
    <col min="3637" max="3637" width="5.75" style="253" customWidth="1"/>
    <col min="3638" max="3638" width="9" style="253" customWidth="1"/>
    <col min="3639" max="3639" width="10.375" style="253" customWidth="1"/>
    <col min="3640" max="3640" width="3.375" style="253" customWidth="1"/>
    <col min="3641" max="3641" width="6.375" style="253" customWidth="1"/>
    <col min="3642" max="3642" width="9.75" style="253" customWidth="1"/>
    <col min="3643" max="3643" width="11.25" style="253" customWidth="1"/>
    <col min="3644" max="3644" width="4" style="253" customWidth="1"/>
    <col min="3645" max="3645" width="6.375" style="253" customWidth="1"/>
    <col min="3646" max="3646" width="9.375" style="253" customWidth="1"/>
    <col min="3647" max="3647" width="10.375" style="253" customWidth="1"/>
    <col min="3648" max="3648" width="3.375" style="253" customWidth="1"/>
    <col min="3649" max="3649" width="5.875" style="253" customWidth="1"/>
    <col min="3650" max="3650" width="9.25" style="253" customWidth="1"/>
    <col min="3651" max="3651" width="10.375" style="253" customWidth="1"/>
    <col min="3652" max="3884" width="9" style="253"/>
    <col min="3885" max="3885" width="6.25" style="253" customWidth="1"/>
    <col min="3886" max="3886" width="8.75" style="253" customWidth="1"/>
    <col min="3887" max="3887" width="10.125" style="253" customWidth="1"/>
    <col min="3888" max="3888" width="3.875" style="253" customWidth="1"/>
    <col min="3889" max="3889" width="6" style="253" customWidth="1"/>
    <col min="3890" max="3890" width="9.25" style="253" customWidth="1"/>
    <col min="3891" max="3891" width="10.125" style="253" customWidth="1"/>
    <col min="3892" max="3892" width="5" style="253" customWidth="1"/>
    <col min="3893" max="3893" width="5.75" style="253" customWidth="1"/>
    <col min="3894" max="3894" width="9" style="253" customWidth="1"/>
    <col min="3895" max="3895" width="10.375" style="253" customWidth="1"/>
    <col min="3896" max="3896" width="3.375" style="253" customWidth="1"/>
    <col min="3897" max="3897" width="6.375" style="253" customWidth="1"/>
    <col min="3898" max="3898" width="9.75" style="253" customWidth="1"/>
    <col min="3899" max="3899" width="11.25" style="253" customWidth="1"/>
    <col min="3900" max="3900" width="4" style="253" customWidth="1"/>
    <col min="3901" max="3901" width="6.375" style="253" customWidth="1"/>
    <col min="3902" max="3902" width="9.375" style="253" customWidth="1"/>
    <col min="3903" max="3903" width="10.375" style="253" customWidth="1"/>
    <col min="3904" max="3904" width="3.375" style="253" customWidth="1"/>
    <col min="3905" max="3905" width="5.875" style="253" customWidth="1"/>
    <col min="3906" max="3906" width="9.25" style="253" customWidth="1"/>
    <col min="3907" max="3907" width="10.375" style="253" customWidth="1"/>
    <col min="3908" max="4140" width="9" style="253"/>
    <col min="4141" max="4141" width="6.25" style="253" customWidth="1"/>
    <col min="4142" max="4142" width="8.75" style="253" customWidth="1"/>
    <col min="4143" max="4143" width="10.125" style="253" customWidth="1"/>
    <col min="4144" max="4144" width="3.875" style="253" customWidth="1"/>
    <col min="4145" max="4145" width="6" style="253" customWidth="1"/>
    <col min="4146" max="4146" width="9.25" style="253" customWidth="1"/>
    <col min="4147" max="4147" width="10.125" style="253" customWidth="1"/>
    <col min="4148" max="4148" width="5" style="253" customWidth="1"/>
    <col min="4149" max="4149" width="5.75" style="253" customWidth="1"/>
    <col min="4150" max="4150" width="9" style="253" customWidth="1"/>
    <col min="4151" max="4151" width="10.375" style="253" customWidth="1"/>
    <col min="4152" max="4152" width="3.375" style="253" customWidth="1"/>
    <col min="4153" max="4153" width="6.375" style="253" customWidth="1"/>
    <col min="4154" max="4154" width="9.75" style="253" customWidth="1"/>
    <col min="4155" max="4155" width="11.25" style="253" customWidth="1"/>
    <col min="4156" max="4156" width="4" style="253" customWidth="1"/>
    <col min="4157" max="4157" width="6.375" style="253" customWidth="1"/>
    <col min="4158" max="4158" width="9.375" style="253" customWidth="1"/>
    <col min="4159" max="4159" width="10.375" style="253" customWidth="1"/>
    <col min="4160" max="4160" width="3.375" style="253" customWidth="1"/>
    <col min="4161" max="4161" width="5.875" style="253" customWidth="1"/>
    <col min="4162" max="4162" width="9.25" style="253" customWidth="1"/>
    <col min="4163" max="4163" width="10.375" style="253" customWidth="1"/>
    <col min="4164" max="4396" width="9" style="253"/>
    <col min="4397" max="4397" width="6.25" style="253" customWidth="1"/>
    <col min="4398" max="4398" width="8.75" style="253" customWidth="1"/>
    <col min="4399" max="4399" width="10.125" style="253" customWidth="1"/>
    <col min="4400" max="4400" width="3.875" style="253" customWidth="1"/>
    <col min="4401" max="4401" width="6" style="253" customWidth="1"/>
    <col min="4402" max="4402" width="9.25" style="253" customWidth="1"/>
    <col min="4403" max="4403" width="10.125" style="253" customWidth="1"/>
    <col min="4404" max="4404" width="5" style="253" customWidth="1"/>
    <col min="4405" max="4405" width="5.75" style="253" customWidth="1"/>
    <col min="4406" max="4406" width="9" style="253" customWidth="1"/>
    <col min="4407" max="4407" width="10.375" style="253" customWidth="1"/>
    <col min="4408" max="4408" width="3.375" style="253" customWidth="1"/>
    <col min="4409" max="4409" width="6.375" style="253" customWidth="1"/>
    <col min="4410" max="4410" width="9.75" style="253" customWidth="1"/>
    <col min="4411" max="4411" width="11.25" style="253" customWidth="1"/>
    <col min="4412" max="4412" width="4" style="253" customWidth="1"/>
    <col min="4413" max="4413" width="6.375" style="253" customWidth="1"/>
    <col min="4414" max="4414" width="9.375" style="253" customWidth="1"/>
    <col min="4415" max="4415" width="10.375" style="253" customWidth="1"/>
    <col min="4416" max="4416" width="3.375" style="253" customWidth="1"/>
    <col min="4417" max="4417" width="5.875" style="253" customWidth="1"/>
    <col min="4418" max="4418" width="9.25" style="253" customWidth="1"/>
    <col min="4419" max="4419" width="10.375" style="253" customWidth="1"/>
    <col min="4420" max="4652" width="9" style="253"/>
    <col min="4653" max="4653" width="6.25" style="253" customWidth="1"/>
    <col min="4654" max="4654" width="8.75" style="253" customWidth="1"/>
    <col min="4655" max="4655" width="10.125" style="253" customWidth="1"/>
    <col min="4656" max="4656" width="3.875" style="253" customWidth="1"/>
    <col min="4657" max="4657" width="6" style="253" customWidth="1"/>
    <col min="4658" max="4658" width="9.25" style="253" customWidth="1"/>
    <col min="4659" max="4659" width="10.125" style="253" customWidth="1"/>
    <col min="4660" max="4660" width="5" style="253" customWidth="1"/>
    <col min="4661" max="4661" width="5.75" style="253" customWidth="1"/>
    <col min="4662" max="4662" width="9" style="253" customWidth="1"/>
    <col min="4663" max="4663" width="10.375" style="253" customWidth="1"/>
    <col min="4664" max="4664" width="3.375" style="253" customWidth="1"/>
    <col min="4665" max="4665" width="6.375" style="253" customWidth="1"/>
    <col min="4666" max="4666" width="9.75" style="253" customWidth="1"/>
    <col min="4667" max="4667" width="11.25" style="253" customWidth="1"/>
    <col min="4668" max="4668" width="4" style="253" customWidth="1"/>
    <col min="4669" max="4669" width="6.375" style="253" customWidth="1"/>
    <col min="4670" max="4670" width="9.375" style="253" customWidth="1"/>
    <col min="4671" max="4671" width="10.375" style="253" customWidth="1"/>
    <col min="4672" max="4672" width="3.375" style="253" customWidth="1"/>
    <col min="4673" max="4673" width="5.875" style="253" customWidth="1"/>
    <col min="4674" max="4674" width="9.25" style="253" customWidth="1"/>
    <col min="4675" max="4675" width="10.375" style="253" customWidth="1"/>
    <col min="4676" max="4908" width="9" style="253"/>
    <col min="4909" max="4909" width="6.25" style="253" customWidth="1"/>
    <col min="4910" max="4910" width="8.75" style="253" customWidth="1"/>
    <col min="4911" max="4911" width="10.125" style="253" customWidth="1"/>
    <col min="4912" max="4912" width="3.875" style="253" customWidth="1"/>
    <col min="4913" max="4913" width="6" style="253" customWidth="1"/>
    <col min="4914" max="4914" width="9.25" style="253" customWidth="1"/>
    <col min="4915" max="4915" width="10.125" style="253" customWidth="1"/>
    <col min="4916" max="4916" width="5" style="253" customWidth="1"/>
    <col min="4917" max="4917" width="5.75" style="253" customWidth="1"/>
    <col min="4918" max="4918" width="9" style="253" customWidth="1"/>
    <col min="4919" max="4919" width="10.375" style="253" customWidth="1"/>
    <col min="4920" max="4920" width="3.375" style="253" customWidth="1"/>
    <col min="4921" max="4921" width="6.375" style="253" customWidth="1"/>
    <col min="4922" max="4922" width="9.75" style="253" customWidth="1"/>
    <col min="4923" max="4923" width="11.25" style="253" customWidth="1"/>
    <col min="4924" max="4924" width="4" style="253" customWidth="1"/>
    <col min="4925" max="4925" width="6.375" style="253" customWidth="1"/>
    <col min="4926" max="4926" width="9.375" style="253" customWidth="1"/>
    <col min="4927" max="4927" width="10.375" style="253" customWidth="1"/>
    <col min="4928" max="4928" width="3.375" style="253" customWidth="1"/>
    <col min="4929" max="4929" width="5.875" style="253" customWidth="1"/>
    <col min="4930" max="4930" width="9.25" style="253" customWidth="1"/>
    <col min="4931" max="4931" width="10.375" style="253" customWidth="1"/>
    <col min="4932" max="5164" width="9" style="253"/>
    <col min="5165" max="5165" width="6.25" style="253" customWidth="1"/>
    <col min="5166" max="5166" width="8.75" style="253" customWidth="1"/>
    <col min="5167" max="5167" width="10.125" style="253" customWidth="1"/>
    <col min="5168" max="5168" width="3.875" style="253" customWidth="1"/>
    <col min="5169" max="5169" width="6" style="253" customWidth="1"/>
    <col min="5170" max="5170" width="9.25" style="253" customWidth="1"/>
    <col min="5171" max="5171" width="10.125" style="253" customWidth="1"/>
    <col min="5172" max="5172" width="5" style="253" customWidth="1"/>
    <col min="5173" max="5173" width="5.75" style="253" customWidth="1"/>
    <col min="5174" max="5174" width="9" style="253" customWidth="1"/>
    <col min="5175" max="5175" width="10.375" style="253" customWidth="1"/>
    <col min="5176" max="5176" width="3.375" style="253" customWidth="1"/>
    <col min="5177" max="5177" width="6.375" style="253" customWidth="1"/>
    <col min="5178" max="5178" width="9.75" style="253" customWidth="1"/>
    <col min="5179" max="5179" width="11.25" style="253" customWidth="1"/>
    <col min="5180" max="5180" width="4" style="253" customWidth="1"/>
    <col min="5181" max="5181" width="6.375" style="253" customWidth="1"/>
    <col min="5182" max="5182" width="9.375" style="253" customWidth="1"/>
    <col min="5183" max="5183" width="10.375" style="253" customWidth="1"/>
    <col min="5184" max="5184" width="3.375" style="253" customWidth="1"/>
    <col min="5185" max="5185" width="5.875" style="253" customWidth="1"/>
    <col min="5186" max="5186" width="9.25" style="253" customWidth="1"/>
    <col min="5187" max="5187" width="10.375" style="253" customWidth="1"/>
    <col min="5188" max="5420" width="9" style="253"/>
    <col min="5421" max="5421" width="6.25" style="253" customWidth="1"/>
    <col min="5422" max="5422" width="8.75" style="253" customWidth="1"/>
    <col min="5423" max="5423" width="10.125" style="253" customWidth="1"/>
    <col min="5424" max="5424" width="3.875" style="253" customWidth="1"/>
    <col min="5425" max="5425" width="6" style="253" customWidth="1"/>
    <col min="5426" max="5426" width="9.25" style="253" customWidth="1"/>
    <col min="5427" max="5427" width="10.125" style="253" customWidth="1"/>
    <col min="5428" max="5428" width="5" style="253" customWidth="1"/>
    <col min="5429" max="5429" width="5.75" style="253" customWidth="1"/>
    <col min="5430" max="5430" width="9" style="253" customWidth="1"/>
    <col min="5431" max="5431" width="10.375" style="253" customWidth="1"/>
    <col min="5432" max="5432" width="3.375" style="253" customWidth="1"/>
    <col min="5433" max="5433" width="6.375" style="253" customWidth="1"/>
    <col min="5434" max="5434" width="9.75" style="253" customWidth="1"/>
    <col min="5435" max="5435" width="11.25" style="253" customWidth="1"/>
    <col min="5436" max="5436" width="4" style="253" customWidth="1"/>
    <col min="5437" max="5437" width="6.375" style="253" customWidth="1"/>
    <col min="5438" max="5438" width="9.375" style="253" customWidth="1"/>
    <col min="5439" max="5439" width="10.375" style="253" customWidth="1"/>
    <col min="5440" max="5440" width="3.375" style="253" customWidth="1"/>
    <col min="5441" max="5441" width="5.875" style="253" customWidth="1"/>
    <col min="5442" max="5442" width="9.25" style="253" customWidth="1"/>
    <col min="5443" max="5443" width="10.375" style="253" customWidth="1"/>
    <col min="5444" max="5676" width="9" style="253"/>
    <col min="5677" max="5677" width="6.25" style="253" customWidth="1"/>
    <col min="5678" max="5678" width="8.75" style="253" customWidth="1"/>
    <col min="5679" max="5679" width="10.125" style="253" customWidth="1"/>
    <col min="5680" max="5680" width="3.875" style="253" customWidth="1"/>
    <col min="5681" max="5681" width="6" style="253" customWidth="1"/>
    <col min="5682" max="5682" width="9.25" style="253" customWidth="1"/>
    <col min="5683" max="5683" width="10.125" style="253" customWidth="1"/>
    <col min="5684" max="5684" width="5" style="253" customWidth="1"/>
    <col min="5685" max="5685" width="5.75" style="253" customWidth="1"/>
    <col min="5686" max="5686" width="9" style="253" customWidth="1"/>
    <col min="5687" max="5687" width="10.375" style="253" customWidth="1"/>
    <col min="5688" max="5688" width="3.375" style="253" customWidth="1"/>
    <col min="5689" max="5689" width="6.375" style="253" customWidth="1"/>
    <col min="5690" max="5690" width="9.75" style="253" customWidth="1"/>
    <col min="5691" max="5691" width="11.25" style="253" customWidth="1"/>
    <col min="5692" max="5692" width="4" style="253" customWidth="1"/>
    <col min="5693" max="5693" width="6.375" style="253" customWidth="1"/>
    <col min="5694" max="5694" width="9.375" style="253" customWidth="1"/>
    <col min="5695" max="5695" width="10.375" style="253" customWidth="1"/>
    <col min="5696" max="5696" width="3.375" style="253" customWidth="1"/>
    <col min="5697" max="5697" width="5.875" style="253" customWidth="1"/>
    <col min="5698" max="5698" width="9.25" style="253" customWidth="1"/>
    <col min="5699" max="5699" width="10.375" style="253" customWidth="1"/>
    <col min="5700" max="5932" width="9" style="253"/>
    <col min="5933" max="5933" width="6.25" style="253" customWidth="1"/>
    <col min="5934" max="5934" width="8.75" style="253" customWidth="1"/>
    <col min="5935" max="5935" width="10.125" style="253" customWidth="1"/>
    <col min="5936" max="5936" width="3.875" style="253" customWidth="1"/>
    <col min="5937" max="5937" width="6" style="253" customWidth="1"/>
    <col min="5938" max="5938" width="9.25" style="253" customWidth="1"/>
    <col min="5939" max="5939" width="10.125" style="253" customWidth="1"/>
    <col min="5940" max="5940" width="5" style="253" customWidth="1"/>
    <col min="5941" max="5941" width="5.75" style="253" customWidth="1"/>
    <col min="5942" max="5942" width="9" style="253" customWidth="1"/>
    <col min="5943" max="5943" width="10.375" style="253" customWidth="1"/>
    <col min="5944" max="5944" width="3.375" style="253" customWidth="1"/>
    <col min="5945" max="5945" width="6.375" style="253" customWidth="1"/>
    <col min="5946" max="5946" width="9.75" style="253" customWidth="1"/>
    <col min="5947" max="5947" width="11.25" style="253" customWidth="1"/>
    <col min="5948" max="5948" width="4" style="253" customWidth="1"/>
    <col min="5949" max="5949" width="6.375" style="253" customWidth="1"/>
    <col min="5950" max="5950" width="9.375" style="253" customWidth="1"/>
    <col min="5951" max="5951" width="10.375" style="253" customWidth="1"/>
    <col min="5952" max="5952" width="3.375" style="253" customWidth="1"/>
    <col min="5953" max="5953" width="5.875" style="253" customWidth="1"/>
    <col min="5954" max="5954" width="9.25" style="253" customWidth="1"/>
    <col min="5955" max="5955" width="10.375" style="253" customWidth="1"/>
    <col min="5956" max="6188" width="9" style="253"/>
    <col min="6189" max="6189" width="6.25" style="253" customWidth="1"/>
    <col min="6190" max="6190" width="8.75" style="253" customWidth="1"/>
    <col min="6191" max="6191" width="10.125" style="253" customWidth="1"/>
    <col min="6192" max="6192" width="3.875" style="253" customWidth="1"/>
    <col min="6193" max="6193" width="6" style="253" customWidth="1"/>
    <col min="6194" max="6194" width="9.25" style="253" customWidth="1"/>
    <col min="6195" max="6195" width="10.125" style="253" customWidth="1"/>
    <col min="6196" max="6196" width="5" style="253" customWidth="1"/>
    <col min="6197" max="6197" width="5.75" style="253" customWidth="1"/>
    <col min="6198" max="6198" width="9" style="253" customWidth="1"/>
    <col min="6199" max="6199" width="10.375" style="253" customWidth="1"/>
    <col min="6200" max="6200" width="3.375" style="253" customWidth="1"/>
    <col min="6201" max="6201" width="6.375" style="253" customWidth="1"/>
    <col min="6202" max="6202" width="9.75" style="253" customWidth="1"/>
    <col min="6203" max="6203" width="11.25" style="253" customWidth="1"/>
    <col min="6204" max="6204" width="4" style="253" customWidth="1"/>
    <col min="6205" max="6205" width="6.375" style="253" customWidth="1"/>
    <col min="6206" max="6206" width="9.375" style="253" customWidth="1"/>
    <col min="6207" max="6207" width="10.375" style="253" customWidth="1"/>
    <col min="6208" max="6208" width="3.375" style="253" customWidth="1"/>
    <col min="6209" max="6209" width="5.875" style="253" customWidth="1"/>
    <col min="6210" max="6210" width="9.25" style="253" customWidth="1"/>
    <col min="6211" max="6211" width="10.375" style="253" customWidth="1"/>
    <col min="6212" max="6444" width="9" style="253"/>
    <col min="6445" max="6445" width="6.25" style="253" customWidth="1"/>
    <col min="6446" max="6446" width="8.75" style="253" customWidth="1"/>
    <col min="6447" max="6447" width="10.125" style="253" customWidth="1"/>
    <col min="6448" max="6448" width="3.875" style="253" customWidth="1"/>
    <col min="6449" max="6449" width="6" style="253" customWidth="1"/>
    <col min="6450" max="6450" width="9.25" style="253" customWidth="1"/>
    <col min="6451" max="6451" width="10.125" style="253" customWidth="1"/>
    <col min="6452" max="6452" width="5" style="253" customWidth="1"/>
    <col min="6453" max="6453" width="5.75" style="253" customWidth="1"/>
    <col min="6454" max="6454" width="9" style="253" customWidth="1"/>
    <col min="6455" max="6455" width="10.375" style="253" customWidth="1"/>
    <col min="6456" max="6456" width="3.375" style="253" customWidth="1"/>
    <col min="6457" max="6457" width="6.375" style="253" customWidth="1"/>
    <col min="6458" max="6458" width="9.75" style="253" customWidth="1"/>
    <col min="6459" max="6459" width="11.25" style="253" customWidth="1"/>
    <col min="6460" max="6460" width="4" style="253" customWidth="1"/>
    <col min="6461" max="6461" width="6.375" style="253" customWidth="1"/>
    <col min="6462" max="6462" width="9.375" style="253" customWidth="1"/>
    <col min="6463" max="6463" width="10.375" style="253" customWidth="1"/>
    <col min="6464" max="6464" width="3.375" style="253" customWidth="1"/>
    <col min="6465" max="6465" width="5.875" style="253" customWidth="1"/>
    <col min="6466" max="6466" width="9.25" style="253" customWidth="1"/>
    <col min="6467" max="6467" width="10.375" style="253" customWidth="1"/>
    <col min="6468" max="6700" width="9" style="253"/>
    <col min="6701" max="6701" width="6.25" style="253" customWidth="1"/>
    <col min="6702" max="6702" width="8.75" style="253" customWidth="1"/>
    <col min="6703" max="6703" width="10.125" style="253" customWidth="1"/>
    <col min="6704" max="6704" width="3.875" style="253" customWidth="1"/>
    <col min="6705" max="6705" width="6" style="253" customWidth="1"/>
    <col min="6706" max="6706" width="9.25" style="253" customWidth="1"/>
    <col min="6707" max="6707" width="10.125" style="253" customWidth="1"/>
    <col min="6708" max="6708" width="5" style="253" customWidth="1"/>
    <col min="6709" max="6709" width="5.75" style="253" customWidth="1"/>
    <col min="6710" max="6710" width="9" style="253" customWidth="1"/>
    <col min="6711" max="6711" width="10.375" style="253" customWidth="1"/>
    <col min="6712" max="6712" width="3.375" style="253" customWidth="1"/>
    <col min="6713" max="6713" width="6.375" style="253" customWidth="1"/>
    <col min="6714" max="6714" width="9.75" style="253" customWidth="1"/>
    <col min="6715" max="6715" width="11.25" style="253" customWidth="1"/>
    <col min="6716" max="6716" width="4" style="253" customWidth="1"/>
    <col min="6717" max="6717" width="6.375" style="253" customWidth="1"/>
    <col min="6718" max="6718" width="9.375" style="253" customWidth="1"/>
    <col min="6719" max="6719" width="10.375" style="253" customWidth="1"/>
    <col min="6720" max="6720" width="3.375" style="253" customWidth="1"/>
    <col min="6721" max="6721" width="5.875" style="253" customWidth="1"/>
    <col min="6722" max="6722" width="9.25" style="253" customWidth="1"/>
    <col min="6723" max="6723" width="10.375" style="253" customWidth="1"/>
    <col min="6724" max="6956" width="9" style="253"/>
    <col min="6957" max="6957" width="6.25" style="253" customWidth="1"/>
    <col min="6958" max="6958" width="8.75" style="253" customWidth="1"/>
    <col min="6959" max="6959" width="10.125" style="253" customWidth="1"/>
    <col min="6960" max="6960" width="3.875" style="253" customWidth="1"/>
    <col min="6961" max="6961" width="6" style="253" customWidth="1"/>
    <col min="6962" max="6962" width="9.25" style="253" customWidth="1"/>
    <col min="6963" max="6963" width="10.125" style="253" customWidth="1"/>
    <col min="6964" max="6964" width="5" style="253" customWidth="1"/>
    <col min="6965" max="6965" width="5.75" style="253" customWidth="1"/>
    <col min="6966" max="6966" width="9" style="253" customWidth="1"/>
    <col min="6967" max="6967" width="10.375" style="253" customWidth="1"/>
    <col min="6968" max="6968" width="3.375" style="253" customWidth="1"/>
    <col min="6969" max="6969" width="6.375" style="253" customWidth="1"/>
    <col min="6970" max="6970" width="9.75" style="253" customWidth="1"/>
    <col min="6971" max="6971" width="11.25" style="253" customWidth="1"/>
    <col min="6972" max="6972" width="4" style="253" customWidth="1"/>
    <col min="6973" max="6973" width="6.375" style="253" customWidth="1"/>
    <col min="6974" max="6974" width="9.375" style="253" customWidth="1"/>
    <col min="6975" max="6975" width="10.375" style="253" customWidth="1"/>
    <col min="6976" max="6976" width="3.375" style="253" customWidth="1"/>
    <col min="6977" max="6977" width="5.875" style="253" customWidth="1"/>
    <col min="6978" max="6978" width="9.25" style="253" customWidth="1"/>
    <col min="6979" max="6979" width="10.375" style="253" customWidth="1"/>
    <col min="6980" max="7212" width="9" style="253"/>
    <col min="7213" max="7213" width="6.25" style="253" customWidth="1"/>
    <col min="7214" max="7214" width="8.75" style="253" customWidth="1"/>
    <col min="7215" max="7215" width="10.125" style="253" customWidth="1"/>
    <col min="7216" max="7216" width="3.875" style="253" customWidth="1"/>
    <col min="7217" max="7217" width="6" style="253" customWidth="1"/>
    <col min="7218" max="7218" width="9.25" style="253" customWidth="1"/>
    <col min="7219" max="7219" width="10.125" style="253" customWidth="1"/>
    <col min="7220" max="7220" width="5" style="253" customWidth="1"/>
    <col min="7221" max="7221" width="5.75" style="253" customWidth="1"/>
    <col min="7222" max="7222" width="9" style="253" customWidth="1"/>
    <col min="7223" max="7223" width="10.375" style="253" customWidth="1"/>
    <col min="7224" max="7224" width="3.375" style="253" customWidth="1"/>
    <col min="7225" max="7225" width="6.375" style="253" customWidth="1"/>
    <col min="7226" max="7226" width="9.75" style="253" customWidth="1"/>
    <col min="7227" max="7227" width="11.25" style="253" customWidth="1"/>
    <col min="7228" max="7228" width="4" style="253" customWidth="1"/>
    <col min="7229" max="7229" width="6.375" style="253" customWidth="1"/>
    <col min="7230" max="7230" width="9.375" style="253" customWidth="1"/>
    <col min="7231" max="7231" width="10.375" style="253" customWidth="1"/>
    <col min="7232" max="7232" width="3.375" style="253" customWidth="1"/>
    <col min="7233" max="7233" width="5.875" style="253" customWidth="1"/>
    <col min="7234" max="7234" width="9.25" style="253" customWidth="1"/>
    <col min="7235" max="7235" width="10.375" style="253" customWidth="1"/>
    <col min="7236" max="7468" width="9" style="253"/>
    <col min="7469" max="7469" width="6.25" style="253" customWidth="1"/>
    <col min="7470" max="7470" width="8.75" style="253" customWidth="1"/>
    <col min="7471" max="7471" width="10.125" style="253" customWidth="1"/>
    <col min="7472" max="7472" width="3.875" style="253" customWidth="1"/>
    <col min="7473" max="7473" width="6" style="253" customWidth="1"/>
    <col min="7474" max="7474" width="9.25" style="253" customWidth="1"/>
    <col min="7475" max="7475" width="10.125" style="253" customWidth="1"/>
    <col min="7476" max="7476" width="5" style="253" customWidth="1"/>
    <col min="7477" max="7477" width="5.75" style="253" customWidth="1"/>
    <col min="7478" max="7478" width="9" style="253" customWidth="1"/>
    <col min="7479" max="7479" width="10.375" style="253" customWidth="1"/>
    <col min="7480" max="7480" width="3.375" style="253" customWidth="1"/>
    <col min="7481" max="7481" width="6.375" style="253" customWidth="1"/>
    <col min="7482" max="7482" width="9.75" style="253" customWidth="1"/>
    <col min="7483" max="7483" width="11.25" style="253" customWidth="1"/>
    <col min="7484" max="7484" width="4" style="253" customWidth="1"/>
    <col min="7485" max="7485" width="6.375" style="253" customWidth="1"/>
    <col min="7486" max="7486" width="9.375" style="253" customWidth="1"/>
    <col min="7487" max="7487" width="10.375" style="253" customWidth="1"/>
    <col min="7488" max="7488" width="3.375" style="253" customWidth="1"/>
    <col min="7489" max="7489" width="5.875" style="253" customWidth="1"/>
    <col min="7490" max="7490" width="9.25" style="253" customWidth="1"/>
    <col min="7491" max="7491" width="10.375" style="253" customWidth="1"/>
    <col min="7492" max="7724" width="9" style="253"/>
    <col min="7725" max="7725" width="6.25" style="253" customWidth="1"/>
    <col min="7726" max="7726" width="8.75" style="253" customWidth="1"/>
    <col min="7727" max="7727" width="10.125" style="253" customWidth="1"/>
    <col min="7728" max="7728" width="3.875" style="253" customWidth="1"/>
    <col min="7729" max="7729" width="6" style="253" customWidth="1"/>
    <col min="7730" max="7730" width="9.25" style="253" customWidth="1"/>
    <col min="7731" max="7731" width="10.125" style="253" customWidth="1"/>
    <col min="7732" max="7732" width="5" style="253" customWidth="1"/>
    <col min="7733" max="7733" width="5.75" style="253" customWidth="1"/>
    <col min="7734" max="7734" width="9" style="253" customWidth="1"/>
    <col min="7735" max="7735" width="10.375" style="253" customWidth="1"/>
    <col min="7736" max="7736" width="3.375" style="253" customWidth="1"/>
    <col min="7737" max="7737" width="6.375" style="253" customWidth="1"/>
    <col min="7738" max="7738" width="9.75" style="253" customWidth="1"/>
    <col min="7739" max="7739" width="11.25" style="253" customWidth="1"/>
    <col min="7740" max="7740" width="4" style="253" customWidth="1"/>
    <col min="7741" max="7741" width="6.375" style="253" customWidth="1"/>
    <col min="7742" max="7742" width="9.375" style="253" customWidth="1"/>
    <col min="7743" max="7743" width="10.375" style="253" customWidth="1"/>
    <col min="7744" max="7744" width="3.375" style="253" customWidth="1"/>
    <col min="7745" max="7745" width="5.875" style="253" customWidth="1"/>
    <col min="7746" max="7746" width="9.25" style="253" customWidth="1"/>
    <col min="7747" max="7747" width="10.375" style="253" customWidth="1"/>
    <col min="7748" max="7980" width="9" style="253"/>
    <col min="7981" max="7981" width="6.25" style="253" customWidth="1"/>
    <col min="7982" max="7982" width="8.75" style="253" customWidth="1"/>
    <col min="7983" max="7983" width="10.125" style="253" customWidth="1"/>
    <col min="7984" max="7984" width="3.875" style="253" customWidth="1"/>
    <col min="7985" max="7985" width="6" style="253" customWidth="1"/>
    <col min="7986" max="7986" width="9.25" style="253" customWidth="1"/>
    <col min="7987" max="7987" width="10.125" style="253" customWidth="1"/>
    <col min="7988" max="7988" width="5" style="253" customWidth="1"/>
    <col min="7989" max="7989" width="5.75" style="253" customWidth="1"/>
    <col min="7990" max="7990" width="9" style="253" customWidth="1"/>
    <col min="7991" max="7991" width="10.375" style="253" customWidth="1"/>
    <col min="7992" max="7992" width="3.375" style="253" customWidth="1"/>
    <col min="7993" max="7993" width="6.375" style="253" customWidth="1"/>
    <col min="7994" max="7994" width="9.75" style="253" customWidth="1"/>
    <col min="7995" max="7995" width="11.25" style="253" customWidth="1"/>
    <col min="7996" max="7996" width="4" style="253" customWidth="1"/>
    <col min="7997" max="7997" width="6.375" style="253" customWidth="1"/>
    <col min="7998" max="7998" width="9.375" style="253" customWidth="1"/>
    <col min="7999" max="7999" width="10.375" style="253" customWidth="1"/>
    <col min="8000" max="8000" width="3.375" style="253" customWidth="1"/>
    <col min="8001" max="8001" width="5.875" style="253" customWidth="1"/>
    <col min="8002" max="8002" width="9.25" style="253" customWidth="1"/>
    <col min="8003" max="8003" width="10.375" style="253" customWidth="1"/>
    <col min="8004" max="8236" width="9" style="253"/>
    <col min="8237" max="8237" width="6.25" style="253" customWidth="1"/>
    <col min="8238" max="8238" width="8.75" style="253" customWidth="1"/>
    <col min="8239" max="8239" width="10.125" style="253" customWidth="1"/>
    <col min="8240" max="8240" width="3.875" style="253" customWidth="1"/>
    <col min="8241" max="8241" width="6" style="253" customWidth="1"/>
    <col min="8242" max="8242" width="9.25" style="253" customWidth="1"/>
    <col min="8243" max="8243" width="10.125" style="253" customWidth="1"/>
    <col min="8244" max="8244" width="5" style="253" customWidth="1"/>
    <col min="8245" max="8245" width="5.75" style="253" customWidth="1"/>
    <col min="8246" max="8246" width="9" style="253" customWidth="1"/>
    <col min="8247" max="8247" width="10.375" style="253" customWidth="1"/>
    <col min="8248" max="8248" width="3.375" style="253" customWidth="1"/>
    <col min="8249" max="8249" width="6.375" style="253" customWidth="1"/>
    <col min="8250" max="8250" width="9.75" style="253" customWidth="1"/>
    <col min="8251" max="8251" width="11.25" style="253" customWidth="1"/>
    <col min="8252" max="8252" width="4" style="253" customWidth="1"/>
    <col min="8253" max="8253" width="6.375" style="253" customWidth="1"/>
    <col min="8254" max="8254" width="9.375" style="253" customWidth="1"/>
    <col min="8255" max="8255" width="10.375" style="253" customWidth="1"/>
    <col min="8256" max="8256" width="3.375" style="253" customWidth="1"/>
    <col min="8257" max="8257" width="5.875" style="253" customWidth="1"/>
    <col min="8258" max="8258" width="9.25" style="253" customWidth="1"/>
    <col min="8259" max="8259" width="10.375" style="253" customWidth="1"/>
    <col min="8260" max="8492" width="9" style="253"/>
    <col min="8493" max="8493" width="6.25" style="253" customWidth="1"/>
    <col min="8494" max="8494" width="8.75" style="253" customWidth="1"/>
    <col min="8495" max="8495" width="10.125" style="253" customWidth="1"/>
    <col min="8496" max="8496" width="3.875" style="253" customWidth="1"/>
    <col min="8497" max="8497" width="6" style="253" customWidth="1"/>
    <col min="8498" max="8498" width="9.25" style="253" customWidth="1"/>
    <col min="8499" max="8499" width="10.125" style="253" customWidth="1"/>
    <col min="8500" max="8500" width="5" style="253" customWidth="1"/>
    <col min="8501" max="8501" width="5.75" style="253" customWidth="1"/>
    <col min="8502" max="8502" width="9" style="253" customWidth="1"/>
    <col min="8503" max="8503" width="10.375" style="253" customWidth="1"/>
    <col min="8504" max="8504" width="3.375" style="253" customWidth="1"/>
    <col min="8505" max="8505" width="6.375" style="253" customWidth="1"/>
    <col min="8506" max="8506" width="9.75" style="253" customWidth="1"/>
    <col min="8507" max="8507" width="11.25" style="253" customWidth="1"/>
    <col min="8508" max="8508" width="4" style="253" customWidth="1"/>
    <col min="8509" max="8509" width="6.375" style="253" customWidth="1"/>
    <col min="8510" max="8510" width="9.375" style="253" customWidth="1"/>
    <col min="8511" max="8511" width="10.375" style="253" customWidth="1"/>
    <col min="8512" max="8512" width="3.375" style="253" customWidth="1"/>
    <col min="8513" max="8513" width="5.875" style="253" customWidth="1"/>
    <col min="8514" max="8514" width="9.25" style="253" customWidth="1"/>
    <col min="8515" max="8515" width="10.375" style="253" customWidth="1"/>
    <col min="8516" max="8748" width="9" style="253"/>
    <col min="8749" max="8749" width="6.25" style="253" customWidth="1"/>
    <col min="8750" max="8750" width="8.75" style="253" customWidth="1"/>
    <col min="8751" max="8751" width="10.125" style="253" customWidth="1"/>
    <col min="8752" max="8752" width="3.875" style="253" customWidth="1"/>
    <col min="8753" max="8753" width="6" style="253" customWidth="1"/>
    <col min="8754" max="8754" width="9.25" style="253" customWidth="1"/>
    <col min="8755" max="8755" width="10.125" style="253" customWidth="1"/>
    <col min="8756" max="8756" width="5" style="253" customWidth="1"/>
    <col min="8757" max="8757" width="5.75" style="253" customWidth="1"/>
    <col min="8758" max="8758" width="9" style="253" customWidth="1"/>
    <col min="8759" max="8759" width="10.375" style="253" customWidth="1"/>
    <col min="8760" max="8760" width="3.375" style="253" customWidth="1"/>
    <col min="8761" max="8761" width="6.375" style="253" customWidth="1"/>
    <col min="8762" max="8762" width="9.75" style="253" customWidth="1"/>
    <col min="8763" max="8763" width="11.25" style="253" customWidth="1"/>
    <col min="8764" max="8764" width="4" style="253" customWidth="1"/>
    <col min="8765" max="8765" width="6.375" style="253" customWidth="1"/>
    <col min="8766" max="8766" width="9.375" style="253" customWidth="1"/>
    <col min="8767" max="8767" width="10.375" style="253" customWidth="1"/>
    <col min="8768" max="8768" width="3.375" style="253" customWidth="1"/>
    <col min="8769" max="8769" width="5.875" style="253" customWidth="1"/>
    <col min="8770" max="8770" width="9.25" style="253" customWidth="1"/>
    <col min="8771" max="8771" width="10.375" style="253" customWidth="1"/>
    <col min="8772" max="9004" width="9" style="253"/>
    <col min="9005" max="9005" width="6.25" style="253" customWidth="1"/>
    <col min="9006" max="9006" width="8.75" style="253" customWidth="1"/>
    <col min="9007" max="9007" width="10.125" style="253" customWidth="1"/>
    <col min="9008" max="9008" width="3.875" style="253" customWidth="1"/>
    <col min="9009" max="9009" width="6" style="253" customWidth="1"/>
    <col min="9010" max="9010" width="9.25" style="253" customWidth="1"/>
    <col min="9011" max="9011" width="10.125" style="253" customWidth="1"/>
    <col min="9012" max="9012" width="5" style="253" customWidth="1"/>
    <col min="9013" max="9013" width="5.75" style="253" customWidth="1"/>
    <col min="9014" max="9014" width="9" style="253" customWidth="1"/>
    <col min="9015" max="9015" width="10.375" style="253" customWidth="1"/>
    <col min="9016" max="9016" width="3.375" style="253" customWidth="1"/>
    <col min="9017" max="9017" width="6.375" style="253" customWidth="1"/>
    <col min="9018" max="9018" width="9.75" style="253" customWidth="1"/>
    <col min="9019" max="9019" width="11.25" style="253" customWidth="1"/>
    <col min="9020" max="9020" width="4" style="253" customWidth="1"/>
    <col min="9021" max="9021" width="6.375" style="253" customWidth="1"/>
    <col min="9022" max="9022" width="9.375" style="253" customWidth="1"/>
    <col min="9023" max="9023" width="10.375" style="253" customWidth="1"/>
    <col min="9024" max="9024" width="3.375" style="253" customWidth="1"/>
    <col min="9025" max="9025" width="5.875" style="253" customWidth="1"/>
    <col min="9026" max="9026" width="9.25" style="253" customWidth="1"/>
    <col min="9027" max="9027" width="10.375" style="253" customWidth="1"/>
    <col min="9028" max="9260" width="9" style="253"/>
    <col min="9261" max="9261" width="6.25" style="253" customWidth="1"/>
    <col min="9262" max="9262" width="8.75" style="253" customWidth="1"/>
    <col min="9263" max="9263" width="10.125" style="253" customWidth="1"/>
    <col min="9264" max="9264" width="3.875" style="253" customWidth="1"/>
    <col min="9265" max="9265" width="6" style="253" customWidth="1"/>
    <col min="9266" max="9266" width="9.25" style="253" customWidth="1"/>
    <col min="9267" max="9267" width="10.125" style="253" customWidth="1"/>
    <col min="9268" max="9268" width="5" style="253" customWidth="1"/>
    <col min="9269" max="9269" width="5.75" style="253" customWidth="1"/>
    <col min="9270" max="9270" width="9" style="253" customWidth="1"/>
    <col min="9271" max="9271" width="10.375" style="253" customWidth="1"/>
    <col min="9272" max="9272" width="3.375" style="253" customWidth="1"/>
    <col min="9273" max="9273" width="6.375" style="253" customWidth="1"/>
    <col min="9274" max="9274" width="9.75" style="253" customWidth="1"/>
    <col min="9275" max="9275" width="11.25" style="253" customWidth="1"/>
    <col min="9276" max="9276" width="4" style="253" customWidth="1"/>
    <col min="9277" max="9277" width="6.375" style="253" customWidth="1"/>
    <col min="9278" max="9278" width="9.375" style="253" customWidth="1"/>
    <col min="9279" max="9279" width="10.375" style="253" customWidth="1"/>
    <col min="9280" max="9280" width="3.375" style="253" customWidth="1"/>
    <col min="9281" max="9281" width="5.875" style="253" customWidth="1"/>
    <col min="9282" max="9282" width="9.25" style="253" customWidth="1"/>
    <col min="9283" max="9283" width="10.375" style="253" customWidth="1"/>
    <col min="9284" max="9516" width="9" style="253"/>
    <col min="9517" max="9517" width="6.25" style="253" customWidth="1"/>
    <col min="9518" max="9518" width="8.75" style="253" customWidth="1"/>
    <col min="9519" max="9519" width="10.125" style="253" customWidth="1"/>
    <col min="9520" max="9520" width="3.875" style="253" customWidth="1"/>
    <col min="9521" max="9521" width="6" style="253" customWidth="1"/>
    <col min="9522" max="9522" width="9.25" style="253" customWidth="1"/>
    <col min="9523" max="9523" width="10.125" style="253" customWidth="1"/>
    <col min="9524" max="9524" width="5" style="253" customWidth="1"/>
    <col min="9525" max="9525" width="5.75" style="253" customWidth="1"/>
    <col min="9526" max="9526" width="9" style="253" customWidth="1"/>
    <col min="9527" max="9527" width="10.375" style="253" customWidth="1"/>
    <col min="9528" max="9528" width="3.375" style="253" customWidth="1"/>
    <col min="9529" max="9529" width="6.375" style="253" customWidth="1"/>
    <col min="9530" max="9530" width="9.75" style="253" customWidth="1"/>
    <col min="9531" max="9531" width="11.25" style="253" customWidth="1"/>
    <col min="9532" max="9532" width="4" style="253" customWidth="1"/>
    <col min="9533" max="9533" width="6.375" style="253" customWidth="1"/>
    <col min="9534" max="9534" width="9.375" style="253" customWidth="1"/>
    <col min="9535" max="9535" width="10.375" style="253" customWidth="1"/>
    <col min="9536" max="9536" width="3.375" style="253" customWidth="1"/>
    <col min="9537" max="9537" width="5.875" style="253" customWidth="1"/>
    <col min="9538" max="9538" width="9.25" style="253" customWidth="1"/>
    <col min="9539" max="9539" width="10.375" style="253" customWidth="1"/>
    <col min="9540" max="9772" width="9" style="253"/>
    <col min="9773" max="9773" width="6.25" style="253" customWidth="1"/>
    <col min="9774" max="9774" width="8.75" style="253" customWidth="1"/>
    <col min="9775" max="9775" width="10.125" style="253" customWidth="1"/>
    <col min="9776" max="9776" width="3.875" style="253" customWidth="1"/>
    <col min="9777" max="9777" width="6" style="253" customWidth="1"/>
    <col min="9778" max="9778" width="9.25" style="253" customWidth="1"/>
    <col min="9779" max="9779" width="10.125" style="253" customWidth="1"/>
    <col min="9780" max="9780" width="5" style="253" customWidth="1"/>
    <col min="9781" max="9781" width="5.75" style="253" customWidth="1"/>
    <col min="9782" max="9782" width="9" style="253" customWidth="1"/>
    <col min="9783" max="9783" width="10.375" style="253" customWidth="1"/>
    <col min="9784" max="9784" width="3.375" style="253" customWidth="1"/>
    <col min="9785" max="9785" width="6.375" style="253" customWidth="1"/>
    <col min="9786" max="9786" width="9.75" style="253" customWidth="1"/>
    <col min="9787" max="9787" width="11.25" style="253" customWidth="1"/>
    <col min="9788" max="9788" width="4" style="253" customWidth="1"/>
    <col min="9789" max="9789" width="6.375" style="253" customWidth="1"/>
    <col min="9790" max="9790" width="9.375" style="253" customWidth="1"/>
    <col min="9791" max="9791" width="10.375" style="253" customWidth="1"/>
    <col min="9792" max="9792" width="3.375" style="253" customWidth="1"/>
    <col min="9793" max="9793" width="5.875" style="253" customWidth="1"/>
    <col min="9794" max="9794" width="9.25" style="253" customWidth="1"/>
    <col min="9795" max="9795" width="10.375" style="253" customWidth="1"/>
    <col min="9796" max="10028" width="9" style="253"/>
    <col min="10029" max="10029" width="6.25" style="253" customWidth="1"/>
    <col min="10030" max="10030" width="8.75" style="253" customWidth="1"/>
    <col min="10031" max="10031" width="10.125" style="253" customWidth="1"/>
    <col min="10032" max="10032" width="3.875" style="253" customWidth="1"/>
    <col min="10033" max="10033" width="6" style="253" customWidth="1"/>
    <col min="10034" max="10034" width="9.25" style="253" customWidth="1"/>
    <col min="10035" max="10035" width="10.125" style="253" customWidth="1"/>
    <col min="10036" max="10036" width="5" style="253" customWidth="1"/>
    <col min="10037" max="10037" width="5.75" style="253" customWidth="1"/>
    <col min="10038" max="10038" width="9" style="253" customWidth="1"/>
    <col min="10039" max="10039" width="10.375" style="253" customWidth="1"/>
    <col min="10040" max="10040" width="3.375" style="253" customWidth="1"/>
    <col min="10041" max="10041" width="6.375" style="253" customWidth="1"/>
    <col min="10042" max="10042" width="9.75" style="253" customWidth="1"/>
    <col min="10043" max="10043" width="11.25" style="253" customWidth="1"/>
    <col min="10044" max="10044" width="4" style="253" customWidth="1"/>
    <col min="10045" max="10045" width="6.375" style="253" customWidth="1"/>
    <col min="10046" max="10046" width="9.375" style="253" customWidth="1"/>
    <col min="10047" max="10047" width="10.375" style="253" customWidth="1"/>
    <col min="10048" max="10048" width="3.375" style="253" customWidth="1"/>
    <col min="10049" max="10049" width="5.875" style="253" customWidth="1"/>
    <col min="10050" max="10050" width="9.25" style="253" customWidth="1"/>
    <col min="10051" max="10051" width="10.375" style="253" customWidth="1"/>
    <col min="10052" max="10284" width="9" style="253"/>
    <col min="10285" max="10285" width="6.25" style="253" customWidth="1"/>
    <col min="10286" max="10286" width="8.75" style="253" customWidth="1"/>
    <col min="10287" max="10287" width="10.125" style="253" customWidth="1"/>
    <col min="10288" max="10288" width="3.875" style="253" customWidth="1"/>
    <col min="10289" max="10289" width="6" style="253" customWidth="1"/>
    <col min="10290" max="10290" width="9.25" style="253" customWidth="1"/>
    <col min="10291" max="10291" width="10.125" style="253" customWidth="1"/>
    <col min="10292" max="10292" width="5" style="253" customWidth="1"/>
    <col min="10293" max="10293" width="5.75" style="253" customWidth="1"/>
    <col min="10294" max="10294" width="9" style="253" customWidth="1"/>
    <col min="10295" max="10295" width="10.375" style="253" customWidth="1"/>
    <col min="10296" max="10296" width="3.375" style="253" customWidth="1"/>
    <col min="10297" max="10297" width="6.375" style="253" customWidth="1"/>
    <col min="10298" max="10298" width="9.75" style="253" customWidth="1"/>
    <col min="10299" max="10299" width="11.25" style="253" customWidth="1"/>
    <col min="10300" max="10300" width="4" style="253" customWidth="1"/>
    <col min="10301" max="10301" width="6.375" style="253" customWidth="1"/>
    <col min="10302" max="10302" width="9.375" style="253" customWidth="1"/>
    <col min="10303" max="10303" width="10.375" style="253" customWidth="1"/>
    <col min="10304" max="10304" width="3.375" style="253" customWidth="1"/>
    <col min="10305" max="10305" width="5.875" style="253" customWidth="1"/>
    <col min="10306" max="10306" width="9.25" style="253" customWidth="1"/>
    <col min="10307" max="10307" width="10.375" style="253" customWidth="1"/>
    <col min="10308" max="10540" width="9" style="253"/>
    <col min="10541" max="10541" width="6.25" style="253" customWidth="1"/>
    <col min="10542" max="10542" width="8.75" style="253" customWidth="1"/>
    <col min="10543" max="10543" width="10.125" style="253" customWidth="1"/>
    <col min="10544" max="10544" width="3.875" style="253" customWidth="1"/>
    <col min="10545" max="10545" width="6" style="253" customWidth="1"/>
    <col min="10546" max="10546" width="9.25" style="253" customWidth="1"/>
    <col min="10547" max="10547" width="10.125" style="253" customWidth="1"/>
    <col min="10548" max="10548" width="5" style="253" customWidth="1"/>
    <col min="10549" max="10549" width="5.75" style="253" customWidth="1"/>
    <col min="10550" max="10550" width="9" style="253" customWidth="1"/>
    <col min="10551" max="10551" width="10.375" style="253" customWidth="1"/>
    <col min="10552" max="10552" width="3.375" style="253" customWidth="1"/>
    <col min="10553" max="10553" width="6.375" style="253" customWidth="1"/>
    <col min="10554" max="10554" width="9.75" style="253" customWidth="1"/>
    <col min="10555" max="10555" width="11.25" style="253" customWidth="1"/>
    <col min="10556" max="10556" width="4" style="253" customWidth="1"/>
    <col min="10557" max="10557" width="6.375" style="253" customWidth="1"/>
    <col min="10558" max="10558" width="9.375" style="253" customWidth="1"/>
    <col min="10559" max="10559" width="10.375" style="253" customWidth="1"/>
    <col min="10560" max="10560" width="3.375" style="253" customWidth="1"/>
    <col min="10561" max="10561" width="5.875" style="253" customWidth="1"/>
    <col min="10562" max="10562" width="9.25" style="253" customWidth="1"/>
    <col min="10563" max="10563" width="10.375" style="253" customWidth="1"/>
    <col min="10564" max="10796" width="9" style="253"/>
    <col min="10797" max="10797" width="6.25" style="253" customWidth="1"/>
    <col min="10798" max="10798" width="8.75" style="253" customWidth="1"/>
    <col min="10799" max="10799" width="10.125" style="253" customWidth="1"/>
    <col min="10800" max="10800" width="3.875" style="253" customWidth="1"/>
    <col min="10801" max="10801" width="6" style="253" customWidth="1"/>
    <col min="10802" max="10802" width="9.25" style="253" customWidth="1"/>
    <col min="10803" max="10803" width="10.125" style="253" customWidth="1"/>
    <col min="10804" max="10804" width="5" style="253" customWidth="1"/>
    <col min="10805" max="10805" width="5.75" style="253" customWidth="1"/>
    <col min="10806" max="10806" width="9" style="253" customWidth="1"/>
    <col min="10807" max="10807" width="10.375" style="253" customWidth="1"/>
    <col min="10808" max="10808" width="3.375" style="253" customWidth="1"/>
    <col min="10809" max="10809" width="6.375" style="253" customWidth="1"/>
    <col min="10810" max="10810" width="9.75" style="253" customWidth="1"/>
    <col min="10811" max="10811" width="11.25" style="253" customWidth="1"/>
    <col min="10812" max="10812" width="4" style="253" customWidth="1"/>
    <col min="10813" max="10813" width="6.375" style="253" customWidth="1"/>
    <col min="10814" max="10814" width="9.375" style="253" customWidth="1"/>
    <col min="10815" max="10815" width="10.375" style="253" customWidth="1"/>
    <col min="10816" max="10816" width="3.375" style="253" customWidth="1"/>
    <col min="10817" max="10817" width="5.875" style="253" customWidth="1"/>
    <col min="10818" max="10818" width="9.25" style="253" customWidth="1"/>
    <col min="10819" max="10819" width="10.375" style="253" customWidth="1"/>
    <col min="10820" max="11052" width="9" style="253"/>
    <col min="11053" max="11053" width="6.25" style="253" customWidth="1"/>
    <col min="11054" max="11054" width="8.75" style="253" customWidth="1"/>
    <col min="11055" max="11055" width="10.125" style="253" customWidth="1"/>
    <col min="11056" max="11056" width="3.875" style="253" customWidth="1"/>
    <col min="11057" max="11057" width="6" style="253" customWidth="1"/>
    <col min="11058" max="11058" width="9.25" style="253" customWidth="1"/>
    <col min="11059" max="11059" width="10.125" style="253" customWidth="1"/>
    <col min="11060" max="11060" width="5" style="253" customWidth="1"/>
    <col min="11061" max="11061" width="5.75" style="253" customWidth="1"/>
    <col min="11062" max="11062" width="9" style="253" customWidth="1"/>
    <col min="11063" max="11063" width="10.375" style="253" customWidth="1"/>
    <col min="11064" max="11064" width="3.375" style="253" customWidth="1"/>
    <col min="11065" max="11065" width="6.375" style="253" customWidth="1"/>
    <col min="11066" max="11066" width="9.75" style="253" customWidth="1"/>
    <col min="11067" max="11067" width="11.25" style="253" customWidth="1"/>
    <col min="11068" max="11068" width="4" style="253" customWidth="1"/>
    <col min="11069" max="11069" width="6.375" style="253" customWidth="1"/>
    <col min="11070" max="11070" width="9.375" style="253" customWidth="1"/>
    <col min="11071" max="11071" width="10.375" style="253" customWidth="1"/>
    <col min="11072" max="11072" width="3.375" style="253" customWidth="1"/>
    <col min="11073" max="11073" width="5.875" style="253" customWidth="1"/>
    <col min="11074" max="11074" width="9.25" style="253" customWidth="1"/>
    <col min="11075" max="11075" width="10.375" style="253" customWidth="1"/>
    <col min="11076" max="11308" width="9" style="253"/>
    <col min="11309" max="11309" width="6.25" style="253" customWidth="1"/>
    <col min="11310" max="11310" width="8.75" style="253" customWidth="1"/>
    <col min="11311" max="11311" width="10.125" style="253" customWidth="1"/>
    <col min="11312" max="11312" width="3.875" style="253" customWidth="1"/>
    <col min="11313" max="11313" width="6" style="253" customWidth="1"/>
    <col min="11314" max="11314" width="9.25" style="253" customWidth="1"/>
    <col min="11315" max="11315" width="10.125" style="253" customWidth="1"/>
    <col min="11316" max="11316" width="5" style="253" customWidth="1"/>
    <col min="11317" max="11317" width="5.75" style="253" customWidth="1"/>
    <col min="11318" max="11318" width="9" style="253" customWidth="1"/>
    <col min="11319" max="11319" width="10.375" style="253" customWidth="1"/>
    <col min="11320" max="11320" width="3.375" style="253" customWidth="1"/>
    <col min="11321" max="11321" width="6.375" style="253" customWidth="1"/>
    <col min="11322" max="11322" width="9.75" style="253" customWidth="1"/>
    <col min="11323" max="11323" width="11.25" style="253" customWidth="1"/>
    <col min="11324" max="11324" width="4" style="253" customWidth="1"/>
    <col min="11325" max="11325" width="6.375" style="253" customWidth="1"/>
    <col min="11326" max="11326" width="9.375" style="253" customWidth="1"/>
    <col min="11327" max="11327" width="10.375" style="253" customWidth="1"/>
    <col min="11328" max="11328" width="3.375" style="253" customWidth="1"/>
    <col min="11329" max="11329" width="5.875" style="253" customWidth="1"/>
    <col min="11330" max="11330" width="9.25" style="253" customWidth="1"/>
    <col min="11331" max="11331" width="10.375" style="253" customWidth="1"/>
    <col min="11332" max="11564" width="9" style="253"/>
    <col min="11565" max="11565" width="6.25" style="253" customWidth="1"/>
    <col min="11566" max="11566" width="8.75" style="253" customWidth="1"/>
    <col min="11567" max="11567" width="10.125" style="253" customWidth="1"/>
    <col min="11568" max="11568" width="3.875" style="253" customWidth="1"/>
    <col min="11569" max="11569" width="6" style="253" customWidth="1"/>
    <col min="11570" max="11570" width="9.25" style="253" customWidth="1"/>
    <col min="11571" max="11571" width="10.125" style="253" customWidth="1"/>
    <col min="11572" max="11572" width="5" style="253" customWidth="1"/>
    <col min="11573" max="11573" width="5.75" style="253" customWidth="1"/>
    <col min="11574" max="11574" width="9" style="253" customWidth="1"/>
    <col min="11575" max="11575" width="10.375" style="253" customWidth="1"/>
    <col min="11576" max="11576" width="3.375" style="253" customWidth="1"/>
    <col min="11577" max="11577" width="6.375" style="253" customWidth="1"/>
    <col min="11578" max="11578" width="9.75" style="253" customWidth="1"/>
    <col min="11579" max="11579" width="11.25" style="253" customWidth="1"/>
    <col min="11580" max="11580" width="4" style="253" customWidth="1"/>
    <col min="11581" max="11581" width="6.375" style="253" customWidth="1"/>
    <col min="11582" max="11582" width="9.375" style="253" customWidth="1"/>
    <col min="11583" max="11583" width="10.375" style="253" customWidth="1"/>
    <col min="11584" max="11584" width="3.375" style="253" customWidth="1"/>
    <col min="11585" max="11585" width="5.875" style="253" customWidth="1"/>
    <col min="11586" max="11586" width="9.25" style="253" customWidth="1"/>
    <col min="11587" max="11587" width="10.375" style="253" customWidth="1"/>
    <col min="11588" max="11820" width="9" style="253"/>
    <col min="11821" max="11821" width="6.25" style="253" customWidth="1"/>
    <col min="11822" max="11822" width="8.75" style="253" customWidth="1"/>
    <col min="11823" max="11823" width="10.125" style="253" customWidth="1"/>
    <col min="11824" max="11824" width="3.875" style="253" customWidth="1"/>
    <col min="11825" max="11825" width="6" style="253" customWidth="1"/>
    <col min="11826" max="11826" width="9.25" style="253" customWidth="1"/>
    <col min="11827" max="11827" width="10.125" style="253" customWidth="1"/>
    <col min="11828" max="11828" width="5" style="253" customWidth="1"/>
    <col min="11829" max="11829" width="5.75" style="253" customWidth="1"/>
    <col min="11830" max="11830" width="9" style="253" customWidth="1"/>
    <col min="11831" max="11831" width="10.375" style="253" customWidth="1"/>
    <col min="11832" max="11832" width="3.375" style="253" customWidth="1"/>
    <col min="11833" max="11833" width="6.375" style="253" customWidth="1"/>
    <col min="11834" max="11834" width="9.75" style="253" customWidth="1"/>
    <col min="11835" max="11835" width="11.25" style="253" customWidth="1"/>
    <col min="11836" max="11836" width="4" style="253" customWidth="1"/>
    <col min="11837" max="11837" width="6.375" style="253" customWidth="1"/>
    <col min="11838" max="11838" width="9.375" style="253" customWidth="1"/>
    <col min="11839" max="11839" width="10.375" style="253" customWidth="1"/>
    <col min="11840" max="11840" width="3.375" style="253" customWidth="1"/>
    <col min="11841" max="11841" width="5.875" style="253" customWidth="1"/>
    <col min="11842" max="11842" width="9.25" style="253" customWidth="1"/>
    <col min="11843" max="11843" width="10.375" style="253" customWidth="1"/>
    <col min="11844" max="12076" width="9" style="253"/>
    <col min="12077" max="12077" width="6.25" style="253" customWidth="1"/>
    <col min="12078" max="12078" width="8.75" style="253" customWidth="1"/>
    <col min="12079" max="12079" width="10.125" style="253" customWidth="1"/>
    <col min="12080" max="12080" width="3.875" style="253" customWidth="1"/>
    <col min="12081" max="12081" width="6" style="253" customWidth="1"/>
    <col min="12082" max="12082" width="9.25" style="253" customWidth="1"/>
    <col min="12083" max="12083" width="10.125" style="253" customWidth="1"/>
    <col min="12084" max="12084" width="5" style="253" customWidth="1"/>
    <col min="12085" max="12085" width="5.75" style="253" customWidth="1"/>
    <col min="12086" max="12086" width="9" style="253" customWidth="1"/>
    <col min="12087" max="12087" width="10.375" style="253" customWidth="1"/>
    <col min="12088" max="12088" width="3.375" style="253" customWidth="1"/>
    <col min="12089" max="12089" width="6.375" style="253" customWidth="1"/>
    <col min="12090" max="12090" width="9.75" style="253" customWidth="1"/>
    <col min="12091" max="12091" width="11.25" style="253" customWidth="1"/>
    <col min="12092" max="12092" width="4" style="253" customWidth="1"/>
    <col min="12093" max="12093" width="6.375" style="253" customWidth="1"/>
    <col min="12094" max="12094" width="9.375" style="253" customWidth="1"/>
    <col min="12095" max="12095" width="10.375" style="253" customWidth="1"/>
    <col min="12096" max="12096" width="3.375" style="253" customWidth="1"/>
    <col min="12097" max="12097" width="5.875" style="253" customWidth="1"/>
    <col min="12098" max="12098" width="9.25" style="253" customWidth="1"/>
    <col min="12099" max="12099" width="10.375" style="253" customWidth="1"/>
    <col min="12100" max="12332" width="9" style="253"/>
    <col min="12333" max="12333" width="6.25" style="253" customWidth="1"/>
    <col min="12334" max="12334" width="8.75" style="253" customWidth="1"/>
    <col min="12335" max="12335" width="10.125" style="253" customWidth="1"/>
    <col min="12336" max="12336" width="3.875" style="253" customWidth="1"/>
    <col min="12337" max="12337" width="6" style="253" customWidth="1"/>
    <col min="12338" max="12338" width="9.25" style="253" customWidth="1"/>
    <col min="12339" max="12339" width="10.125" style="253" customWidth="1"/>
    <col min="12340" max="12340" width="5" style="253" customWidth="1"/>
    <col min="12341" max="12341" width="5.75" style="253" customWidth="1"/>
    <col min="12342" max="12342" width="9" style="253" customWidth="1"/>
    <col min="12343" max="12343" width="10.375" style="253" customWidth="1"/>
    <col min="12344" max="12344" width="3.375" style="253" customWidth="1"/>
    <col min="12345" max="12345" width="6.375" style="253" customWidth="1"/>
    <col min="12346" max="12346" width="9.75" style="253" customWidth="1"/>
    <col min="12347" max="12347" width="11.25" style="253" customWidth="1"/>
    <col min="12348" max="12348" width="4" style="253" customWidth="1"/>
    <col min="12349" max="12349" width="6.375" style="253" customWidth="1"/>
    <col min="12350" max="12350" width="9.375" style="253" customWidth="1"/>
    <col min="12351" max="12351" width="10.375" style="253" customWidth="1"/>
    <col min="12352" max="12352" width="3.375" style="253" customWidth="1"/>
    <col min="12353" max="12353" width="5.875" style="253" customWidth="1"/>
    <col min="12354" max="12354" width="9.25" style="253" customWidth="1"/>
    <col min="12355" max="12355" width="10.375" style="253" customWidth="1"/>
    <col min="12356" max="12588" width="9" style="253"/>
    <col min="12589" max="12589" width="6.25" style="253" customWidth="1"/>
    <col min="12590" max="12590" width="8.75" style="253" customWidth="1"/>
    <col min="12591" max="12591" width="10.125" style="253" customWidth="1"/>
    <col min="12592" max="12592" width="3.875" style="253" customWidth="1"/>
    <col min="12593" max="12593" width="6" style="253" customWidth="1"/>
    <col min="12594" max="12594" width="9.25" style="253" customWidth="1"/>
    <col min="12595" max="12595" width="10.125" style="253" customWidth="1"/>
    <col min="12596" max="12596" width="5" style="253" customWidth="1"/>
    <col min="12597" max="12597" width="5.75" style="253" customWidth="1"/>
    <col min="12598" max="12598" width="9" style="253" customWidth="1"/>
    <col min="12599" max="12599" width="10.375" style="253" customWidth="1"/>
    <col min="12600" max="12600" width="3.375" style="253" customWidth="1"/>
    <col min="12601" max="12601" width="6.375" style="253" customWidth="1"/>
    <col min="12602" max="12602" width="9.75" style="253" customWidth="1"/>
    <col min="12603" max="12603" width="11.25" style="253" customWidth="1"/>
    <col min="12604" max="12604" width="4" style="253" customWidth="1"/>
    <col min="12605" max="12605" width="6.375" style="253" customWidth="1"/>
    <col min="12606" max="12606" width="9.375" style="253" customWidth="1"/>
    <col min="12607" max="12607" width="10.375" style="253" customWidth="1"/>
    <col min="12608" max="12608" width="3.375" style="253" customWidth="1"/>
    <col min="12609" max="12609" width="5.875" style="253" customWidth="1"/>
    <col min="12610" max="12610" width="9.25" style="253" customWidth="1"/>
    <col min="12611" max="12611" width="10.375" style="253" customWidth="1"/>
    <col min="12612" max="12844" width="9" style="253"/>
    <col min="12845" max="12845" width="6.25" style="253" customWidth="1"/>
    <col min="12846" max="12846" width="8.75" style="253" customWidth="1"/>
    <col min="12847" max="12847" width="10.125" style="253" customWidth="1"/>
    <col min="12848" max="12848" width="3.875" style="253" customWidth="1"/>
    <col min="12849" max="12849" width="6" style="253" customWidth="1"/>
    <col min="12850" max="12850" width="9.25" style="253" customWidth="1"/>
    <col min="12851" max="12851" width="10.125" style="253" customWidth="1"/>
    <col min="12852" max="12852" width="5" style="253" customWidth="1"/>
    <col min="12853" max="12853" width="5.75" style="253" customWidth="1"/>
    <col min="12854" max="12854" width="9" style="253" customWidth="1"/>
    <col min="12855" max="12855" width="10.375" style="253" customWidth="1"/>
    <col min="12856" max="12856" width="3.375" style="253" customWidth="1"/>
    <col min="12857" max="12857" width="6.375" style="253" customWidth="1"/>
    <col min="12858" max="12858" width="9.75" style="253" customWidth="1"/>
    <col min="12859" max="12859" width="11.25" style="253" customWidth="1"/>
    <col min="12860" max="12860" width="4" style="253" customWidth="1"/>
    <col min="12861" max="12861" width="6.375" style="253" customWidth="1"/>
    <col min="12862" max="12862" width="9.375" style="253" customWidth="1"/>
    <col min="12863" max="12863" width="10.375" style="253" customWidth="1"/>
    <col min="12864" max="12864" width="3.375" style="253" customWidth="1"/>
    <col min="12865" max="12865" width="5.875" style="253" customWidth="1"/>
    <col min="12866" max="12866" width="9.25" style="253" customWidth="1"/>
    <col min="12867" max="12867" width="10.375" style="253" customWidth="1"/>
    <col min="12868" max="13100" width="9" style="253"/>
    <col min="13101" max="13101" width="6.25" style="253" customWidth="1"/>
    <col min="13102" max="13102" width="8.75" style="253" customWidth="1"/>
    <col min="13103" max="13103" width="10.125" style="253" customWidth="1"/>
    <col min="13104" max="13104" width="3.875" style="253" customWidth="1"/>
    <col min="13105" max="13105" width="6" style="253" customWidth="1"/>
    <col min="13106" max="13106" width="9.25" style="253" customWidth="1"/>
    <col min="13107" max="13107" width="10.125" style="253" customWidth="1"/>
    <col min="13108" max="13108" width="5" style="253" customWidth="1"/>
    <col min="13109" max="13109" width="5.75" style="253" customWidth="1"/>
    <col min="13110" max="13110" width="9" style="253" customWidth="1"/>
    <col min="13111" max="13111" width="10.375" style="253" customWidth="1"/>
    <col min="13112" max="13112" width="3.375" style="253" customWidth="1"/>
    <col min="13113" max="13113" width="6.375" style="253" customWidth="1"/>
    <col min="13114" max="13114" width="9.75" style="253" customWidth="1"/>
    <col min="13115" max="13115" width="11.25" style="253" customWidth="1"/>
    <col min="13116" max="13116" width="4" style="253" customWidth="1"/>
    <col min="13117" max="13117" width="6.375" style="253" customWidth="1"/>
    <col min="13118" max="13118" width="9.375" style="253" customWidth="1"/>
    <col min="13119" max="13119" width="10.375" style="253" customWidth="1"/>
    <col min="13120" max="13120" width="3.375" style="253" customWidth="1"/>
    <col min="13121" max="13121" width="5.875" style="253" customWidth="1"/>
    <col min="13122" max="13122" width="9.25" style="253" customWidth="1"/>
    <col min="13123" max="13123" width="10.375" style="253" customWidth="1"/>
    <col min="13124" max="13356" width="9" style="253"/>
    <col min="13357" max="13357" width="6.25" style="253" customWidth="1"/>
    <col min="13358" max="13358" width="8.75" style="253" customWidth="1"/>
    <col min="13359" max="13359" width="10.125" style="253" customWidth="1"/>
    <col min="13360" max="13360" width="3.875" style="253" customWidth="1"/>
    <col min="13361" max="13361" width="6" style="253" customWidth="1"/>
    <col min="13362" max="13362" width="9.25" style="253" customWidth="1"/>
    <col min="13363" max="13363" width="10.125" style="253" customWidth="1"/>
    <col min="13364" max="13364" width="5" style="253" customWidth="1"/>
    <col min="13365" max="13365" width="5.75" style="253" customWidth="1"/>
    <col min="13366" max="13366" width="9" style="253" customWidth="1"/>
    <col min="13367" max="13367" width="10.375" style="253" customWidth="1"/>
    <col min="13368" max="13368" width="3.375" style="253" customWidth="1"/>
    <col min="13369" max="13369" width="6.375" style="253" customWidth="1"/>
    <col min="13370" max="13370" width="9.75" style="253" customWidth="1"/>
    <col min="13371" max="13371" width="11.25" style="253" customWidth="1"/>
    <col min="13372" max="13372" width="4" style="253" customWidth="1"/>
    <col min="13373" max="13373" width="6.375" style="253" customWidth="1"/>
    <col min="13374" max="13374" width="9.375" style="253" customWidth="1"/>
    <col min="13375" max="13375" width="10.375" style="253" customWidth="1"/>
    <col min="13376" max="13376" width="3.375" style="253" customWidth="1"/>
    <col min="13377" max="13377" width="5.875" style="253" customWidth="1"/>
    <col min="13378" max="13378" width="9.25" style="253" customWidth="1"/>
    <col min="13379" max="13379" width="10.375" style="253" customWidth="1"/>
    <col min="13380" max="13612" width="9" style="253"/>
    <col min="13613" max="13613" width="6.25" style="253" customWidth="1"/>
    <col min="13614" max="13614" width="8.75" style="253" customWidth="1"/>
    <col min="13615" max="13615" width="10.125" style="253" customWidth="1"/>
    <col min="13616" max="13616" width="3.875" style="253" customWidth="1"/>
    <col min="13617" max="13617" width="6" style="253" customWidth="1"/>
    <col min="13618" max="13618" width="9.25" style="253" customWidth="1"/>
    <col min="13619" max="13619" width="10.125" style="253" customWidth="1"/>
    <col min="13620" max="13620" width="5" style="253" customWidth="1"/>
    <col min="13621" max="13621" width="5.75" style="253" customWidth="1"/>
    <col min="13622" max="13622" width="9" style="253" customWidth="1"/>
    <col min="13623" max="13623" width="10.375" style="253" customWidth="1"/>
    <col min="13624" max="13624" width="3.375" style="253" customWidth="1"/>
    <col min="13625" max="13625" width="6.375" style="253" customWidth="1"/>
    <col min="13626" max="13626" width="9.75" style="253" customWidth="1"/>
    <col min="13627" max="13627" width="11.25" style="253" customWidth="1"/>
    <col min="13628" max="13628" width="4" style="253" customWidth="1"/>
    <col min="13629" max="13629" width="6.375" style="253" customWidth="1"/>
    <col min="13630" max="13630" width="9.375" style="253" customWidth="1"/>
    <col min="13631" max="13631" width="10.375" style="253" customWidth="1"/>
    <col min="13632" max="13632" width="3.375" style="253" customWidth="1"/>
    <col min="13633" max="13633" width="5.875" style="253" customWidth="1"/>
    <col min="13634" max="13634" width="9.25" style="253" customWidth="1"/>
    <col min="13635" max="13635" width="10.375" style="253" customWidth="1"/>
    <col min="13636" max="13868" width="9" style="253"/>
    <col min="13869" max="13869" width="6.25" style="253" customWidth="1"/>
    <col min="13870" max="13870" width="8.75" style="253" customWidth="1"/>
    <col min="13871" max="13871" width="10.125" style="253" customWidth="1"/>
    <col min="13872" max="13872" width="3.875" style="253" customWidth="1"/>
    <col min="13873" max="13873" width="6" style="253" customWidth="1"/>
    <col min="13874" max="13874" width="9.25" style="253" customWidth="1"/>
    <col min="13875" max="13875" width="10.125" style="253" customWidth="1"/>
    <col min="13876" max="13876" width="5" style="253" customWidth="1"/>
    <col min="13877" max="13877" width="5.75" style="253" customWidth="1"/>
    <col min="13878" max="13878" width="9" style="253" customWidth="1"/>
    <col min="13879" max="13879" width="10.375" style="253" customWidth="1"/>
    <col min="13880" max="13880" width="3.375" style="253" customWidth="1"/>
    <col min="13881" max="13881" width="6.375" style="253" customWidth="1"/>
    <col min="13882" max="13882" width="9.75" style="253" customWidth="1"/>
    <col min="13883" max="13883" width="11.25" style="253" customWidth="1"/>
    <col min="13884" max="13884" width="4" style="253" customWidth="1"/>
    <col min="13885" max="13885" width="6.375" style="253" customWidth="1"/>
    <col min="13886" max="13886" width="9.375" style="253" customWidth="1"/>
    <col min="13887" max="13887" width="10.375" style="253" customWidth="1"/>
    <col min="13888" max="13888" width="3.375" style="253" customWidth="1"/>
    <col min="13889" max="13889" width="5.875" style="253" customWidth="1"/>
    <col min="13890" max="13890" width="9.25" style="253" customWidth="1"/>
    <col min="13891" max="13891" width="10.375" style="253" customWidth="1"/>
    <col min="13892" max="14124" width="9" style="253"/>
    <col min="14125" max="14125" width="6.25" style="253" customWidth="1"/>
    <col min="14126" max="14126" width="8.75" style="253" customWidth="1"/>
    <col min="14127" max="14127" width="10.125" style="253" customWidth="1"/>
    <col min="14128" max="14128" width="3.875" style="253" customWidth="1"/>
    <col min="14129" max="14129" width="6" style="253" customWidth="1"/>
    <col min="14130" max="14130" width="9.25" style="253" customWidth="1"/>
    <col min="14131" max="14131" width="10.125" style="253" customWidth="1"/>
    <col min="14132" max="14132" width="5" style="253" customWidth="1"/>
    <col min="14133" max="14133" width="5.75" style="253" customWidth="1"/>
    <col min="14134" max="14134" width="9" style="253" customWidth="1"/>
    <col min="14135" max="14135" width="10.375" style="253" customWidth="1"/>
    <col min="14136" max="14136" width="3.375" style="253" customWidth="1"/>
    <col min="14137" max="14137" width="6.375" style="253" customWidth="1"/>
    <col min="14138" max="14138" width="9.75" style="253" customWidth="1"/>
    <col min="14139" max="14139" width="11.25" style="253" customWidth="1"/>
    <col min="14140" max="14140" width="4" style="253" customWidth="1"/>
    <col min="14141" max="14141" width="6.375" style="253" customWidth="1"/>
    <col min="14142" max="14142" width="9.375" style="253" customWidth="1"/>
    <col min="14143" max="14143" width="10.375" style="253" customWidth="1"/>
    <col min="14144" max="14144" width="3.375" style="253" customWidth="1"/>
    <col min="14145" max="14145" width="5.875" style="253" customWidth="1"/>
    <col min="14146" max="14146" width="9.25" style="253" customWidth="1"/>
    <col min="14147" max="14147" width="10.375" style="253" customWidth="1"/>
    <col min="14148" max="14380" width="9" style="253"/>
    <col min="14381" max="14381" width="6.25" style="253" customWidth="1"/>
    <col min="14382" max="14382" width="8.75" style="253" customWidth="1"/>
    <col min="14383" max="14383" width="10.125" style="253" customWidth="1"/>
    <col min="14384" max="14384" width="3.875" style="253" customWidth="1"/>
    <col min="14385" max="14385" width="6" style="253" customWidth="1"/>
    <col min="14386" max="14386" width="9.25" style="253" customWidth="1"/>
    <col min="14387" max="14387" width="10.125" style="253" customWidth="1"/>
    <col min="14388" max="14388" width="5" style="253" customWidth="1"/>
    <col min="14389" max="14389" width="5.75" style="253" customWidth="1"/>
    <col min="14390" max="14390" width="9" style="253" customWidth="1"/>
    <col min="14391" max="14391" width="10.375" style="253" customWidth="1"/>
    <col min="14392" max="14392" width="3.375" style="253" customWidth="1"/>
    <col min="14393" max="14393" width="6.375" style="253" customWidth="1"/>
    <col min="14394" max="14394" width="9.75" style="253" customWidth="1"/>
    <col min="14395" max="14395" width="11.25" style="253" customWidth="1"/>
    <col min="14396" max="14396" width="4" style="253" customWidth="1"/>
    <col min="14397" max="14397" width="6.375" style="253" customWidth="1"/>
    <col min="14398" max="14398" width="9.375" style="253" customWidth="1"/>
    <col min="14399" max="14399" width="10.375" style="253" customWidth="1"/>
    <col min="14400" max="14400" width="3.375" style="253" customWidth="1"/>
    <col min="14401" max="14401" width="5.875" style="253" customWidth="1"/>
    <col min="14402" max="14402" width="9.25" style="253" customWidth="1"/>
    <col min="14403" max="14403" width="10.375" style="253" customWidth="1"/>
    <col min="14404" max="14636" width="9" style="253"/>
    <col min="14637" max="14637" width="6.25" style="253" customWidth="1"/>
    <col min="14638" max="14638" width="8.75" style="253" customWidth="1"/>
    <col min="14639" max="14639" width="10.125" style="253" customWidth="1"/>
    <col min="14640" max="14640" width="3.875" style="253" customWidth="1"/>
    <col min="14641" max="14641" width="6" style="253" customWidth="1"/>
    <col min="14642" max="14642" width="9.25" style="253" customWidth="1"/>
    <col min="14643" max="14643" width="10.125" style="253" customWidth="1"/>
    <col min="14644" max="14644" width="5" style="253" customWidth="1"/>
    <col min="14645" max="14645" width="5.75" style="253" customWidth="1"/>
    <col min="14646" max="14646" width="9" style="253" customWidth="1"/>
    <col min="14647" max="14647" width="10.375" style="253" customWidth="1"/>
    <col min="14648" max="14648" width="3.375" style="253" customWidth="1"/>
    <col min="14649" max="14649" width="6.375" style="253" customWidth="1"/>
    <col min="14650" max="14650" width="9.75" style="253" customWidth="1"/>
    <col min="14651" max="14651" width="11.25" style="253" customWidth="1"/>
    <col min="14652" max="14652" width="4" style="253" customWidth="1"/>
    <col min="14653" max="14653" width="6.375" style="253" customWidth="1"/>
    <col min="14654" max="14654" width="9.375" style="253" customWidth="1"/>
    <col min="14655" max="14655" width="10.375" style="253" customWidth="1"/>
    <col min="14656" max="14656" width="3.375" style="253" customWidth="1"/>
    <col min="14657" max="14657" width="5.875" style="253" customWidth="1"/>
    <col min="14658" max="14658" width="9.25" style="253" customWidth="1"/>
    <col min="14659" max="14659" width="10.375" style="253" customWidth="1"/>
    <col min="14660" max="14892" width="9" style="253"/>
    <col min="14893" max="14893" width="6.25" style="253" customWidth="1"/>
    <col min="14894" max="14894" width="8.75" style="253" customWidth="1"/>
    <col min="14895" max="14895" width="10.125" style="253" customWidth="1"/>
    <col min="14896" max="14896" width="3.875" style="253" customWidth="1"/>
    <col min="14897" max="14897" width="6" style="253" customWidth="1"/>
    <col min="14898" max="14898" width="9.25" style="253" customWidth="1"/>
    <col min="14899" max="14899" width="10.125" style="253" customWidth="1"/>
    <col min="14900" max="14900" width="5" style="253" customWidth="1"/>
    <col min="14901" max="14901" width="5.75" style="253" customWidth="1"/>
    <col min="14902" max="14902" width="9" style="253" customWidth="1"/>
    <col min="14903" max="14903" width="10.375" style="253" customWidth="1"/>
    <col min="14904" max="14904" width="3.375" style="253" customWidth="1"/>
    <col min="14905" max="14905" width="6.375" style="253" customWidth="1"/>
    <col min="14906" max="14906" width="9.75" style="253" customWidth="1"/>
    <col min="14907" max="14907" width="11.25" style="253" customWidth="1"/>
    <col min="14908" max="14908" width="4" style="253" customWidth="1"/>
    <col min="14909" max="14909" width="6.375" style="253" customWidth="1"/>
    <col min="14910" max="14910" width="9.375" style="253" customWidth="1"/>
    <col min="14911" max="14911" width="10.375" style="253" customWidth="1"/>
    <col min="14912" max="14912" width="3.375" style="253" customWidth="1"/>
    <col min="14913" max="14913" width="5.875" style="253" customWidth="1"/>
    <col min="14914" max="14914" width="9.25" style="253" customWidth="1"/>
    <col min="14915" max="14915" width="10.375" style="253" customWidth="1"/>
    <col min="14916" max="15148" width="9" style="253"/>
    <col min="15149" max="15149" width="6.25" style="253" customWidth="1"/>
    <col min="15150" max="15150" width="8.75" style="253" customWidth="1"/>
    <col min="15151" max="15151" width="10.125" style="253" customWidth="1"/>
    <col min="15152" max="15152" width="3.875" style="253" customWidth="1"/>
    <col min="15153" max="15153" width="6" style="253" customWidth="1"/>
    <col min="15154" max="15154" width="9.25" style="253" customWidth="1"/>
    <col min="15155" max="15155" width="10.125" style="253" customWidth="1"/>
    <col min="15156" max="15156" width="5" style="253" customWidth="1"/>
    <col min="15157" max="15157" width="5.75" style="253" customWidth="1"/>
    <col min="15158" max="15158" width="9" style="253" customWidth="1"/>
    <col min="15159" max="15159" width="10.375" style="253" customWidth="1"/>
    <col min="15160" max="15160" width="3.375" style="253" customWidth="1"/>
    <col min="15161" max="15161" width="6.375" style="253" customWidth="1"/>
    <col min="15162" max="15162" width="9.75" style="253" customWidth="1"/>
    <col min="15163" max="15163" width="11.25" style="253" customWidth="1"/>
    <col min="15164" max="15164" width="4" style="253" customWidth="1"/>
    <col min="15165" max="15165" width="6.375" style="253" customWidth="1"/>
    <col min="15166" max="15166" width="9.375" style="253" customWidth="1"/>
    <col min="15167" max="15167" width="10.375" style="253" customWidth="1"/>
    <col min="15168" max="15168" width="3.375" style="253" customWidth="1"/>
    <col min="15169" max="15169" width="5.875" style="253" customWidth="1"/>
    <col min="15170" max="15170" width="9.25" style="253" customWidth="1"/>
    <col min="15171" max="15171" width="10.375" style="253" customWidth="1"/>
    <col min="15172" max="15404" width="9" style="253"/>
    <col min="15405" max="15405" width="6.25" style="253" customWidth="1"/>
    <col min="15406" max="15406" width="8.75" style="253" customWidth="1"/>
    <col min="15407" max="15407" width="10.125" style="253" customWidth="1"/>
    <col min="15408" max="15408" width="3.875" style="253" customWidth="1"/>
    <col min="15409" max="15409" width="6" style="253" customWidth="1"/>
    <col min="15410" max="15410" width="9.25" style="253" customWidth="1"/>
    <col min="15411" max="15411" width="10.125" style="253" customWidth="1"/>
    <col min="15412" max="15412" width="5" style="253" customWidth="1"/>
    <col min="15413" max="15413" width="5.75" style="253" customWidth="1"/>
    <col min="15414" max="15414" width="9" style="253" customWidth="1"/>
    <col min="15415" max="15415" width="10.375" style="253" customWidth="1"/>
    <col min="15416" max="15416" width="3.375" style="253" customWidth="1"/>
    <col min="15417" max="15417" width="6.375" style="253" customWidth="1"/>
    <col min="15418" max="15418" width="9.75" style="253" customWidth="1"/>
    <col min="15419" max="15419" width="11.25" style="253" customWidth="1"/>
    <col min="15420" max="15420" width="4" style="253" customWidth="1"/>
    <col min="15421" max="15421" width="6.375" style="253" customWidth="1"/>
    <col min="15422" max="15422" width="9.375" style="253" customWidth="1"/>
    <col min="15423" max="15423" width="10.375" style="253" customWidth="1"/>
    <col min="15424" max="15424" width="3.375" style="253" customWidth="1"/>
    <col min="15425" max="15425" width="5.875" style="253" customWidth="1"/>
    <col min="15426" max="15426" width="9.25" style="253" customWidth="1"/>
    <col min="15427" max="15427" width="10.375" style="253" customWidth="1"/>
    <col min="15428" max="15660" width="9" style="253"/>
    <col min="15661" max="15661" width="6.25" style="253" customWidth="1"/>
    <col min="15662" max="15662" width="8.75" style="253" customWidth="1"/>
    <col min="15663" max="15663" width="10.125" style="253" customWidth="1"/>
    <col min="15664" max="15664" width="3.875" style="253" customWidth="1"/>
    <col min="15665" max="15665" width="6" style="253" customWidth="1"/>
    <col min="15666" max="15666" width="9.25" style="253" customWidth="1"/>
    <col min="15667" max="15667" width="10.125" style="253" customWidth="1"/>
    <col min="15668" max="15668" width="5" style="253" customWidth="1"/>
    <col min="15669" max="15669" width="5.75" style="253" customWidth="1"/>
    <col min="15670" max="15670" width="9" style="253" customWidth="1"/>
    <col min="15671" max="15671" width="10.375" style="253" customWidth="1"/>
    <col min="15672" max="15672" width="3.375" style="253" customWidth="1"/>
    <col min="15673" max="15673" width="6.375" style="253" customWidth="1"/>
    <col min="15674" max="15674" width="9.75" style="253" customWidth="1"/>
    <col min="15675" max="15675" width="11.25" style="253" customWidth="1"/>
    <col min="15676" max="15676" width="4" style="253" customWidth="1"/>
    <col min="15677" max="15677" width="6.375" style="253" customWidth="1"/>
    <col min="15678" max="15678" width="9.375" style="253" customWidth="1"/>
    <col min="15679" max="15679" width="10.375" style="253" customWidth="1"/>
    <col min="15680" max="15680" width="3.375" style="253" customWidth="1"/>
    <col min="15681" max="15681" width="5.875" style="253" customWidth="1"/>
    <col min="15682" max="15682" width="9.25" style="253" customWidth="1"/>
    <col min="15683" max="15683" width="10.375" style="253" customWidth="1"/>
    <col min="15684" max="15916" width="9" style="253"/>
    <col min="15917" max="15917" width="6.25" style="253" customWidth="1"/>
    <col min="15918" max="15918" width="8.75" style="253" customWidth="1"/>
    <col min="15919" max="15919" width="10.125" style="253" customWidth="1"/>
    <col min="15920" max="15920" width="3.875" style="253" customWidth="1"/>
    <col min="15921" max="15921" width="6" style="253" customWidth="1"/>
    <col min="15922" max="15922" width="9.25" style="253" customWidth="1"/>
    <col min="15923" max="15923" width="10.125" style="253" customWidth="1"/>
    <col min="15924" max="15924" width="5" style="253" customWidth="1"/>
    <col min="15925" max="15925" width="5.75" style="253" customWidth="1"/>
    <col min="15926" max="15926" width="9" style="253" customWidth="1"/>
    <col min="15927" max="15927" width="10.375" style="253" customWidth="1"/>
    <col min="15928" max="15928" width="3.375" style="253" customWidth="1"/>
    <col min="15929" max="15929" width="6.375" style="253" customWidth="1"/>
    <col min="15930" max="15930" width="9.75" style="253" customWidth="1"/>
    <col min="15931" max="15931" width="11.25" style="253" customWidth="1"/>
    <col min="15932" max="15932" width="4" style="253" customWidth="1"/>
    <col min="15933" max="15933" width="6.375" style="253" customWidth="1"/>
    <col min="15934" max="15934" width="9.375" style="253" customWidth="1"/>
    <col min="15935" max="15935" width="10.375" style="253" customWidth="1"/>
    <col min="15936" max="15936" width="3.375" style="253" customWidth="1"/>
    <col min="15937" max="15937" width="5.875" style="253" customWidth="1"/>
    <col min="15938" max="15938" width="9.25" style="253" customWidth="1"/>
    <col min="15939" max="15939" width="10.375" style="253" customWidth="1"/>
    <col min="15940" max="16172" width="9" style="253"/>
    <col min="16173" max="16173" width="6.25" style="253" customWidth="1"/>
    <col min="16174" max="16174" width="8.75" style="253" customWidth="1"/>
    <col min="16175" max="16175" width="10.125" style="253" customWidth="1"/>
    <col min="16176" max="16176" width="3.875" style="253" customWidth="1"/>
    <col min="16177" max="16177" width="6" style="253" customWidth="1"/>
    <col min="16178" max="16178" width="9.25" style="253" customWidth="1"/>
    <col min="16179" max="16179" width="10.125" style="253" customWidth="1"/>
    <col min="16180" max="16180" width="5" style="253" customWidth="1"/>
    <col min="16181" max="16181" width="5.75" style="253" customWidth="1"/>
    <col min="16182" max="16182" width="9" style="253" customWidth="1"/>
    <col min="16183" max="16183" width="10.375" style="253" customWidth="1"/>
    <col min="16184" max="16184" width="3.375" style="253" customWidth="1"/>
    <col min="16185" max="16185" width="6.375" style="253" customWidth="1"/>
    <col min="16186" max="16186" width="9.75" style="253" customWidth="1"/>
    <col min="16187" max="16187" width="11.25" style="253" customWidth="1"/>
    <col min="16188" max="16188" width="4" style="253" customWidth="1"/>
    <col min="16189" max="16189" width="6.375" style="253" customWidth="1"/>
    <col min="16190" max="16190" width="9.375" style="253" customWidth="1"/>
    <col min="16191" max="16191" width="10.375" style="253" customWidth="1"/>
    <col min="16192" max="16192" width="3.375" style="253" customWidth="1"/>
    <col min="16193" max="16193" width="5.875" style="253" customWidth="1"/>
    <col min="16194" max="16194" width="9.25" style="253" customWidth="1"/>
    <col min="16195" max="16195" width="10.375" style="253" customWidth="1"/>
    <col min="16196" max="16384" width="9" style="253"/>
  </cols>
  <sheetData>
    <row r="1" spans="1:64" ht="23.25">
      <c r="A1" s="251"/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1731" t="s">
        <v>1715</v>
      </c>
      <c r="N1" s="1731"/>
      <c r="O1" s="1731"/>
      <c r="P1" s="1731"/>
      <c r="Q1" s="1731"/>
      <c r="R1" s="1731"/>
      <c r="S1" s="1731"/>
      <c r="T1" s="1731"/>
      <c r="U1" s="1731"/>
      <c r="V1" s="1731"/>
      <c r="W1" s="1731"/>
      <c r="X1" s="1731"/>
      <c r="Y1" s="1731"/>
      <c r="Z1" s="1731"/>
      <c r="AA1" s="1731"/>
      <c r="AB1" s="1731"/>
      <c r="AC1" s="1731"/>
      <c r="AD1" s="1731"/>
      <c r="AE1" s="1731"/>
      <c r="AF1" s="1731"/>
      <c r="AG1" s="1731"/>
      <c r="AH1" s="1731"/>
      <c r="AI1" s="1731"/>
      <c r="AJ1" s="1731"/>
      <c r="AK1" s="1731"/>
      <c r="AL1" s="1731"/>
      <c r="AM1" s="1731"/>
      <c r="AN1" s="1731"/>
      <c r="AO1" s="1731"/>
      <c r="AP1" s="1731"/>
      <c r="AQ1" s="1731"/>
      <c r="AR1" s="1731"/>
      <c r="AS1" s="1731"/>
      <c r="AT1" s="1731"/>
      <c r="AU1" s="1731"/>
      <c r="AV1" s="1731"/>
      <c r="AW1" s="1731"/>
      <c r="AX1" s="1731"/>
      <c r="AY1" s="1731"/>
      <c r="AZ1" s="1731"/>
      <c r="BA1" s="1731"/>
      <c r="BB1" s="1731"/>
      <c r="BC1" s="1731"/>
      <c r="BD1" s="1731"/>
      <c r="BE1" s="1731"/>
      <c r="BF1" s="1731"/>
      <c r="BG1" s="1731"/>
      <c r="BH1" s="1731"/>
      <c r="BI1" s="1731"/>
      <c r="BJ1" s="1731"/>
      <c r="BK1" s="1731"/>
      <c r="BL1" s="251"/>
    </row>
    <row r="2" spans="1:64" ht="23.25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1732" t="s">
        <v>470</v>
      </c>
      <c r="N2" s="1732"/>
      <c r="O2" s="1732"/>
      <c r="P2" s="1732"/>
      <c r="Q2" s="1732"/>
      <c r="R2" s="1732"/>
      <c r="S2" s="1732"/>
      <c r="T2" s="1732"/>
      <c r="U2" s="1732"/>
      <c r="V2" s="1732"/>
      <c r="W2" s="1732"/>
      <c r="X2" s="1732"/>
      <c r="Y2" s="1732"/>
      <c r="Z2" s="1732"/>
      <c r="AA2" s="1732"/>
      <c r="AB2" s="1732"/>
      <c r="AC2" s="1732"/>
      <c r="AD2" s="1732"/>
      <c r="AE2" s="1732"/>
      <c r="AF2" s="1732"/>
      <c r="AG2" s="1732"/>
      <c r="AH2" s="1732"/>
      <c r="AI2" s="1732"/>
      <c r="AJ2" s="1732"/>
      <c r="AK2" s="1732"/>
      <c r="AL2" s="1732"/>
      <c r="AM2" s="1732"/>
      <c r="AN2" s="1732"/>
      <c r="AO2" s="1732"/>
      <c r="AP2" s="1732"/>
      <c r="AQ2" s="1732"/>
      <c r="AR2" s="1732"/>
      <c r="AS2" s="1732"/>
      <c r="AT2" s="1732"/>
      <c r="AU2" s="1732"/>
      <c r="AV2" s="1732"/>
      <c r="AW2" s="1732"/>
      <c r="AX2" s="1732"/>
      <c r="AY2" s="1732"/>
      <c r="AZ2" s="1732"/>
      <c r="BA2" s="1732"/>
      <c r="BB2" s="1732"/>
      <c r="BC2" s="1732"/>
      <c r="BD2" s="1732"/>
      <c r="BE2" s="1732"/>
      <c r="BF2" s="1732"/>
      <c r="BG2" s="1732"/>
      <c r="BH2" s="1732"/>
      <c r="BI2" s="1732"/>
      <c r="BJ2" s="1732"/>
      <c r="BK2" s="1732"/>
      <c r="BL2" s="251"/>
    </row>
    <row r="3" spans="1:64" ht="23.25">
      <c r="A3" s="251"/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1732" t="s">
        <v>1714</v>
      </c>
      <c r="N3" s="1732"/>
      <c r="O3" s="1732"/>
      <c r="P3" s="1732"/>
      <c r="Q3" s="1732"/>
      <c r="R3" s="1732"/>
      <c r="S3" s="1732"/>
      <c r="T3" s="1732"/>
      <c r="U3" s="1732"/>
      <c r="V3" s="1732"/>
      <c r="W3" s="1732"/>
      <c r="X3" s="1732"/>
      <c r="Y3" s="1732"/>
      <c r="Z3" s="1732"/>
      <c r="AA3" s="1732"/>
      <c r="AB3" s="1732"/>
      <c r="AC3" s="1732"/>
      <c r="AD3" s="1732"/>
      <c r="AE3" s="1732"/>
      <c r="AF3" s="1732"/>
      <c r="AG3" s="1732"/>
      <c r="AH3" s="1732"/>
      <c r="AI3" s="1732"/>
      <c r="AJ3" s="1732"/>
      <c r="AK3" s="1732"/>
      <c r="AL3" s="1732"/>
      <c r="AM3" s="1732"/>
      <c r="AN3" s="1732"/>
      <c r="AO3" s="1732"/>
      <c r="AP3" s="1732"/>
      <c r="AQ3" s="1732"/>
      <c r="AR3" s="1732"/>
      <c r="AS3" s="1732"/>
      <c r="AT3" s="1732"/>
      <c r="AU3" s="1732"/>
      <c r="AV3" s="1732"/>
      <c r="AW3" s="1732"/>
      <c r="AX3" s="1732"/>
      <c r="AY3" s="1732"/>
      <c r="AZ3" s="1732"/>
      <c r="BA3" s="1732"/>
      <c r="BB3" s="1732"/>
      <c r="BC3" s="1732"/>
      <c r="BD3" s="1732"/>
      <c r="BE3" s="1732"/>
      <c r="BF3" s="1732"/>
      <c r="BG3" s="1732"/>
      <c r="BH3" s="1732"/>
      <c r="BI3" s="1732"/>
      <c r="BJ3" s="1732"/>
      <c r="BK3" s="1732"/>
      <c r="BL3" s="251"/>
    </row>
    <row r="4" spans="1:64" ht="24">
      <c r="A4" s="1729" t="str">
        <f>"ราคาน้ำมัน ณ อำเภอเมืองพัทลุง"</f>
        <v>ราคาน้ำมัน ณ อำเภอเมืองพัทลุง</v>
      </c>
      <c r="B4" s="1729"/>
      <c r="C4" s="1729"/>
      <c r="D4" s="254"/>
      <c r="E4" s="1733" t="s">
        <v>1959</v>
      </c>
      <c r="F4" s="1733"/>
      <c r="G4" s="1733"/>
      <c r="H4" s="1399"/>
      <c r="I4" s="1733" t="s">
        <v>1960</v>
      </c>
      <c r="J4" s="1733"/>
      <c r="K4" s="1733"/>
      <c r="L4" s="1347"/>
      <c r="M4" s="1730" t="s">
        <v>1815</v>
      </c>
      <c r="N4" s="1730"/>
      <c r="O4" s="1730"/>
      <c r="P4" s="518"/>
      <c r="Q4" s="1730" t="s">
        <v>1814</v>
      </c>
      <c r="R4" s="1730"/>
      <c r="S4" s="1730"/>
      <c r="T4" s="518"/>
      <c r="U4" s="1730" t="s">
        <v>1813</v>
      </c>
      <c r="V4" s="1730"/>
      <c r="W4" s="1730"/>
      <c r="X4" s="518"/>
      <c r="Y4" s="1730" t="s">
        <v>1812</v>
      </c>
      <c r="Z4" s="1730"/>
      <c r="AA4" s="1730"/>
      <c r="AB4" s="518"/>
      <c r="AC4" s="1730" t="s">
        <v>1811</v>
      </c>
      <c r="AD4" s="1730"/>
      <c r="AE4" s="1730"/>
      <c r="AF4" s="518"/>
      <c r="AG4" s="1730" t="s">
        <v>1775</v>
      </c>
      <c r="AH4" s="1730"/>
      <c r="AI4" s="1730"/>
      <c r="AJ4" s="254"/>
      <c r="AK4" s="1730" t="s">
        <v>1776</v>
      </c>
      <c r="AL4" s="1730"/>
      <c r="AM4" s="1730"/>
      <c r="AN4" s="254"/>
      <c r="AO4" s="1730" t="s">
        <v>1774</v>
      </c>
      <c r="AP4" s="1730"/>
      <c r="AQ4" s="1730"/>
      <c r="AR4" s="254"/>
      <c r="AS4" s="1730" t="s">
        <v>1771</v>
      </c>
      <c r="AT4" s="1730"/>
      <c r="AU4" s="1730"/>
      <c r="AV4" s="254"/>
      <c r="AW4" s="1730" t="s">
        <v>1713</v>
      </c>
      <c r="AX4" s="1730"/>
      <c r="AY4" s="1730"/>
      <c r="AZ4" s="254"/>
      <c r="BA4" s="1730" t="s">
        <v>1711</v>
      </c>
      <c r="BB4" s="1730"/>
      <c r="BC4" s="1730"/>
      <c r="BD4" s="254"/>
      <c r="BE4" s="1730" t="s">
        <v>1772</v>
      </c>
      <c r="BF4" s="1730"/>
      <c r="BG4" s="1730"/>
      <c r="BH4" s="254"/>
      <c r="BI4" s="1730" t="s">
        <v>1773</v>
      </c>
      <c r="BJ4" s="1730"/>
      <c r="BK4" s="1730"/>
      <c r="BL4" s="254"/>
    </row>
    <row r="5" spans="1:64" ht="24">
      <c r="A5" s="1729" t="s">
        <v>1712</v>
      </c>
      <c r="B5" s="1729"/>
      <c r="C5" s="255">
        <f>เปรียบเทียบราคาวัสดุ!C3</f>
        <v>22.5</v>
      </c>
      <c r="D5" s="254"/>
      <c r="E5" s="1733" t="s">
        <v>1712</v>
      </c>
      <c r="F5" s="1733"/>
      <c r="G5" s="1405">
        <v>18.5</v>
      </c>
      <c r="H5" s="1399"/>
      <c r="I5" s="1733" t="s">
        <v>1712</v>
      </c>
      <c r="J5" s="1733"/>
      <c r="K5" s="1405">
        <v>19.5</v>
      </c>
      <c r="L5" s="1347"/>
      <c r="M5" s="1730" t="s">
        <v>1712</v>
      </c>
      <c r="N5" s="1730"/>
      <c r="O5" s="520">
        <v>20.5</v>
      </c>
      <c r="P5" s="518"/>
      <c r="Q5" s="1730" t="s">
        <v>1712</v>
      </c>
      <c r="R5" s="1730"/>
      <c r="S5" s="520">
        <v>21.5</v>
      </c>
      <c r="T5" s="518"/>
      <c r="U5" s="1730" t="s">
        <v>1712</v>
      </c>
      <c r="V5" s="1730"/>
      <c r="W5" s="520">
        <v>22.5</v>
      </c>
      <c r="X5" s="518"/>
      <c r="Y5" s="1730" t="s">
        <v>1712</v>
      </c>
      <c r="Z5" s="1730"/>
      <c r="AA5" s="520">
        <v>23.5</v>
      </c>
      <c r="AB5" s="518"/>
      <c r="AC5" s="1730" t="s">
        <v>1712</v>
      </c>
      <c r="AD5" s="1730"/>
      <c r="AE5" s="520">
        <v>24.5</v>
      </c>
      <c r="AF5" s="518"/>
      <c r="AG5" s="1730" t="s">
        <v>1712</v>
      </c>
      <c r="AH5" s="1730"/>
      <c r="AI5" s="520">
        <v>25.5</v>
      </c>
      <c r="AJ5" s="254"/>
      <c r="AK5" s="1730" t="s">
        <v>1712</v>
      </c>
      <c r="AL5" s="1730"/>
      <c r="AM5" s="520">
        <v>26.5</v>
      </c>
      <c r="AN5" s="254"/>
      <c r="AO5" s="1730" t="s">
        <v>1712</v>
      </c>
      <c r="AP5" s="1730"/>
      <c r="AQ5" s="520">
        <v>27.5</v>
      </c>
      <c r="AR5" s="254"/>
      <c r="AS5" s="1730" t="s">
        <v>1712</v>
      </c>
      <c r="AT5" s="1730"/>
      <c r="AU5" s="520">
        <v>28.5</v>
      </c>
      <c r="AV5" s="254"/>
      <c r="AW5" s="1730" t="s">
        <v>1712</v>
      </c>
      <c r="AX5" s="1730"/>
      <c r="AY5" s="520">
        <v>29.5</v>
      </c>
      <c r="AZ5" s="254"/>
      <c r="BA5" s="1730" t="s">
        <v>1712</v>
      </c>
      <c r="BB5" s="1730"/>
      <c r="BC5" s="520">
        <v>30.5</v>
      </c>
      <c r="BD5" s="254"/>
      <c r="BE5" s="1730" t="s">
        <v>1712</v>
      </c>
      <c r="BF5" s="1730"/>
      <c r="BG5" s="520">
        <v>31.5</v>
      </c>
      <c r="BH5" s="254"/>
      <c r="BI5" s="1730" t="s">
        <v>1712</v>
      </c>
      <c r="BJ5" s="1730"/>
      <c r="BK5" s="520">
        <v>32.5</v>
      </c>
      <c r="BL5" s="254"/>
    </row>
    <row r="6" spans="1:64" ht="23.25">
      <c r="A6" s="256" t="s">
        <v>466</v>
      </c>
      <c r="B6" s="256" t="s">
        <v>471</v>
      </c>
      <c r="C6" s="256" t="s">
        <v>471</v>
      </c>
      <c r="D6" s="257"/>
      <c r="E6" s="1406" t="s">
        <v>466</v>
      </c>
      <c r="F6" s="1406" t="s">
        <v>471</v>
      </c>
      <c r="G6" s="1406" t="s">
        <v>471</v>
      </c>
      <c r="H6" s="1400"/>
      <c r="I6" s="1406" t="s">
        <v>466</v>
      </c>
      <c r="J6" s="1406" t="s">
        <v>471</v>
      </c>
      <c r="K6" s="1406" t="s">
        <v>471</v>
      </c>
      <c r="L6" s="257"/>
      <c r="M6" s="521" t="s">
        <v>466</v>
      </c>
      <c r="N6" s="521" t="s">
        <v>471</v>
      </c>
      <c r="O6" s="521" t="s">
        <v>471</v>
      </c>
      <c r="P6" s="257"/>
      <c r="Q6" s="521" t="s">
        <v>466</v>
      </c>
      <c r="R6" s="521" t="s">
        <v>471</v>
      </c>
      <c r="S6" s="521" t="s">
        <v>471</v>
      </c>
      <c r="T6" s="257"/>
      <c r="U6" s="521" t="s">
        <v>466</v>
      </c>
      <c r="V6" s="521" t="s">
        <v>471</v>
      </c>
      <c r="W6" s="521" t="s">
        <v>471</v>
      </c>
      <c r="X6" s="257"/>
      <c r="Y6" s="521" t="s">
        <v>466</v>
      </c>
      <c r="Z6" s="521" t="s">
        <v>471</v>
      </c>
      <c r="AA6" s="521" t="s">
        <v>471</v>
      </c>
      <c r="AB6" s="257"/>
      <c r="AC6" s="521" t="s">
        <v>466</v>
      </c>
      <c r="AD6" s="521" t="s">
        <v>471</v>
      </c>
      <c r="AE6" s="521" t="s">
        <v>471</v>
      </c>
      <c r="AF6" s="257"/>
      <c r="AG6" s="521" t="s">
        <v>466</v>
      </c>
      <c r="AH6" s="521" t="s">
        <v>471</v>
      </c>
      <c r="AI6" s="521" t="s">
        <v>471</v>
      </c>
      <c r="AJ6" s="257"/>
      <c r="AK6" s="521" t="s">
        <v>466</v>
      </c>
      <c r="AL6" s="521" t="s">
        <v>471</v>
      </c>
      <c r="AM6" s="521" t="s">
        <v>471</v>
      </c>
      <c r="AN6" s="257"/>
      <c r="AO6" s="521" t="s">
        <v>466</v>
      </c>
      <c r="AP6" s="521" t="s">
        <v>471</v>
      </c>
      <c r="AQ6" s="521" t="s">
        <v>471</v>
      </c>
      <c r="AR6" s="257"/>
      <c r="AS6" s="521" t="s">
        <v>466</v>
      </c>
      <c r="AT6" s="521" t="s">
        <v>471</v>
      </c>
      <c r="AU6" s="521" t="s">
        <v>471</v>
      </c>
      <c r="AV6" s="257"/>
      <c r="AW6" s="521" t="s">
        <v>466</v>
      </c>
      <c r="AX6" s="521" t="s">
        <v>471</v>
      </c>
      <c r="AY6" s="521" t="s">
        <v>471</v>
      </c>
      <c r="AZ6" s="257"/>
      <c r="BA6" s="521" t="s">
        <v>466</v>
      </c>
      <c r="BB6" s="521" t="s">
        <v>471</v>
      </c>
      <c r="BC6" s="521" t="s">
        <v>471</v>
      </c>
      <c r="BD6" s="257"/>
      <c r="BE6" s="521" t="s">
        <v>466</v>
      </c>
      <c r="BF6" s="521" t="s">
        <v>471</v>
      </c>
      <c r="BG6" s="521" t="s">
        <v>471</v>
      </c>
      <c r="BH6" s="257"/>
      <c r="BI6" s="521" t="s">
        <v>466</v>
      </c>
      <c r="BJ6" s="521" t="s">
        <v>471</v>
      </c>
      <c r="BK6" s="521" t="s">
        <v>471</v>
      </c>
      <c r="BL6" s="257"/>
    </row>
    <row r="7" spans="1:64" ht="23.25">
      <c r="A7" s="258" t="s">
        <v>472</v>
      </c>
      <c r="B7" s="259"/>
      <c r="C7" s="259"/>
      <c r="D7" s="257"/>
      <c r="E7" s="1407" t="s">
        <v>472</v>
      </c>
      <c r="F7" s="1408"/>
      <c r="G7" s="1408"/>
      <c r="H7" s="1400"/>
      <c r="I7" s="1407" t="s">
        <v>472</v>
      </c>
      <c r="J7" s="1408"/>
      <c r="K7" s="1408"/>
      <c r="L7" s="257"/>
      <c r="M7" s="522" t="s">
        <v>472</v>
      </c>
      <c r="N7" s="523"/>
      <c r="O7" s="523"/>
      <c r="P7" s="257"/>
      <c r="Q7" s="522" t="s">
        <v>472</v>
      </c>
      <c r="R7" s="523"/>
      <c r="S7" s="523"/>
      <c r="T7" s="257"/>
      <c r="U7" s="522" t="s">
        <v>472</v>
      </c>
      <c r="V7" s="523"/>
      <c r="W7" s="523"/>
      <c r="X7" s="257"/>
      <c r="Y7" s="522" t="s">
        <v>472</v>
      </c>
      <c r="Z7" s="523"/>
      <c r="AA7" s="523"/>
      <c r="AB7" s="257"/>
      <c r="AC7" s="522" t="s">
        <v>472</v>
      </c>
      <c r="AD7" s="523"/>
      <c r="AE7" s="523"/>
      <c r="AF7" s="257"/>
      <c r="AG7" s="522" t="s">
        <v>472</v>
      </c>
      <c r="AH7" s="523"/>
      <c r="AI7" s="523"/>
      <c r="AJ7" s="257"/>
      <c r="AK7" s="522" t="s">
        <v>472</v>
      </c>
      <c r="AL7" s="523"/>
      <c r="AM7" s="523"/>
      <c r="AN7" s="257"/>
      <c r="AO7" s="522" t="s">
        <v>472</v>
      </c>
      <c r="AP7" s="523"/>
      <c r="AQ7" s="523"/>
      <c r="AR7" s="257"/>
      <c r="AS7" s="522" t="s">
        <v>472</v>
      </c>
      <c r="AT7" s="523"/>
      <c r="AU7" s="523"/>
      <c r="AV7" s="257"/>
      <c r="AW7" s="522" t="s">
        <v>472</v>
      </c>
      <c r="AX7" s="523"/>
      <c r="AY7" s="523"/>
      <c r="AZ7" s="257"/>
      <c r="BA7" s="522" t="s">
        <v>472</v>
      </c>
      <c r="BB7" s="523"/>
      <c r="BC7" s="523"/>
      <c r="BD7" s="257"/>
      <c r="BE7" s="522" t="s">
        <v>472</v>
      </c>
      <c r="BF7" s="523"/>
      <c r="BG7" s="523"/>
      <c r="BH7" s="257"/>
      <c r="BI7" s="522" t="s">
        <v>472</v>
      </c>
      <c r="BJ7" s="523"/>
      <c r="BK7" s="523"/>
      <c r="BL7" s="257"/>
    </row>
    <row r="8" spans="1:64" ht="23.25">
      <c r="A8" s="260" t="s">
        <v>181</v>
      </c>
      <c r="B8" s="260" t="s">
        <v>473</v>
      </c>
      <c r="C8" s="260" t="s">
        <v>474</v>
      </c>
      <c r="D8" s="257"/>
      <c r="E8" s="1409" t="s">
        <v>181</v>
      </c>
      <c r="F8" s="1409" t="s">
        <v>473</v>
      </c>
      <c r="G8" s="1407" t="s">
        <v>474</v>
      </c>
      <c r="H8" s="1400"/>
      <c r="I8" s="1409" t="s">
        <v>181</v>
      </c>
      <c r="J8" s="1409" t="s">
        <v>473</v>
      </c>
      <c r="K8" s="1407" t="s">
        <v>474</v>
      </c>
      <c r="L8" s="257"/>
      <c r="M8" s="524" t="s">
        <v>181</v>
      </c>
      <c r="N8" s="524" t="s">
        <v>473</v>
      </c>
      <c r="O8" s="522" t="s">
        <v>474</v>
      </c>
      <c r="P8" s="257"/>
      <c r="Q8" s="524" t="s">
        <v>181</v>
      </c>
      <c r="R8" s="524" t="s">
        <v>473</v>
      </c>
      <c r="S8" s="522" t="s">
        <v>474</v>
      </c>
      <c r="T8" s="257"/>
      <c r="U8" s="524" t="s">
        <v>181</v>
      </c>
      <c r="V8" s="524" t="s">
        <v>473</v>
      </c>
      <c r="W8" s="522" t="s">
        <v>474</v>
      </c>
      <c r="X8" s="257"/>
      <c r="Y8" s="524" t="s">
        <v>181</v>
      </c>
      <c r="Z8" s="524" t="s">
        <v>473</v>
      </c>
      <c r="AA8" s="522" t="s">
        <v>474</v>
      </c>
      <c r="AB8" s="257"/>
      <c r="AC8" s="524" t="s">
        <v>181</v>
      </c>
      <c r="AD8" s="524" t="s">
        <v>473</v>
      </c>
      <c r="AE8" s="522" t="s">
        <v>474</v>
      </c>
      <c r="AF8" s="257"/>
      <c r="AG8" s="524" t="s">
        <v>181</v>
      </c>
      <c r="AH8" s="524" t="s">
        <v>473</v>
      </c>
      <c r="AI8" s="522" t="s">
        <v>474</v>
      </c>
      <c r="AJ8" s="257"/>
      <c r="AK8" s="524" t="s">
        <v>181</v>
      </c>
      <c r="AL8" s="524" t="s">
        <v>473</v>
      </c>
      <c r="AM8" s="522" t="s">
        <v>474</v>
      </c>
      <c r="AN8" s="257"/>
      <c r="AO8" s="524" t="s">
        <v>181</v>
      </c>
      <c r="AP8" s="524" t="s">
        <v>473</v>
      </c>
      <c r="AQ8" s="522" t="s">
        <v>474</v>
      </c>
      <c r="AR8" s="257"/>
      <c r="AS8" s="524" t="s">
        <v>181</v>
      </c>
      <c r="AT8" s="524" t="s">
        <v>473</v>
      </c>
      <c r="AU8" s="522" t="s">
        <v>474</v>
      </c>
      <c r="AV8" s="257"/>
      <c r="AW8" s="524" t="s">
        <v>181</v>
      </c>
      <c r="AX8" s="524" t="s">
        <v>473</v>
      </c>
      <c r="AY8" s="522" t="s">
        <v>474</v>
      </c>
      <c r="AZ8" s="257"/>
      <c r="BA8" s="524" t="s">
        <v>181</v>
      </c>
      <c r="BB8" s="524" t="s">
        <v>473</v>
      </c>
      <c r="BC8" s="522" t="s">
        <v>474</v>
      </c>
      <c r="BD8" s="257"/>
      <c r="BE8" s="524" t="s">
        <v>181</v>
      </c>
      <c r="BF8" s="524" t="s">
        <v>473</v>
      </c>
      <c r="BG8" s="522" t="s">
        <v>474</v>
      </c>
      <c r="BH8" s="257"/>
      <c r="BI8" s="524" t="s">
        <v>181</v>
      </c>
      <c r="BJ8" s="524" t="s">
        <v>473</v>
      </c>
      <c r="BK8" s="522" t="s">
        <v>474</v>
      </c>
      <c r="BL8" s="257"/>
    </row>
    <row r="9" spans="1:64" ht="23.25">
      <c r="A9" s="261">
        <v>1</v>
      </c>
      <c r="B9" s="1433">
        <f>IF($C$5=$G$5,F9,IF($C$5=$K$5,J9,IF($C$5=$O$5,N9,IF($C$5=$S$5,R9,IF($C$5=$W$5,V9,IF($C$5=$AA$5,Z9,IF($C$5=$AE$5,AD9,IF($C$5=$AI$5,AH9,IF($C$5=$AM$5,AL9,IF($C$5=$AQ$5,AP9,IF($C$5=$AU$5,AT9,IF($C$5=$AY$5,AX9,IF($C$5=$BC$5,BB9,IF($C$5=$BG$5,BF9,IF($C$5=$BK$5,BJ9,0)))))))))))))))</f>
        <v>7.85</v>
      </c>
      <c r="C9" s="1434">
        <f>IF($C$5=$G$5,G9,IF($C$5=$K$5,K9,IF($C$5=$O$5,O9,IF($C$5=$S$5,S9,IF($C$5=$W$5,W9,IF($C$5=$AA$5,AA9,IF($C$5=$AE$5,AE9,IF($C$5=$AI$5,AI9,IF($C$5=$AM$5,AM9,IF($C$5=$AQ$5,AQ9,IF($C$5=$AU$5,AU9,IF($C$5=$AY$5,AY9,IF($C$5=$BC$5,BC9,IF($C$5=$BG$5,BG9,IF($C$5=$BK$5,BK9,0)))))))))))))))</f>
        <v>10.99</v>
      </c>
      <c r="D9" s="262"/>
      <c r="E9" s="1410">
        <v>1</v>
      </c>
      <c r="F9" s="1411">
        <v>7.7</v>
      </c>
      <c r="G9" s="1412">
        <v>10.78</v>
      </c>
      <c r="H9" s="1401"/>
      <c r="I9" s="1410">
        <v>1</v>
      </c>
      <c r="J9" s="1411">
        <v>7.74</v>
      </c>
      <c r="K9" s="1412">
        <v>10.84</v>
      </c>
      <c r="L9" s="262"/>
      <c r="M9" s="525">
        <v>1</v>
      </c>
      <c r="N9" s="526">
        <v>7.78</v>
      </c>
      <c r="O9" s="527">
        <v>10.89</v>
      </c>
      <c r="P9" s="262"/>
      <c r="Q9" s="525">
        <v>1</v>
      </c>
      <c r="R9" s="526">
        <v>7.81</v>
      </c>
      <c r="S9" s="527">
        <v>10.94</v>
      </c>
      <c r="T9" s="262"/>
      <c r="U9" s="525">
        <v>1</v>
      </c>
      <c r="V9" s="526">
        <v>7.85</v>
      </c>
      <c r="W9" s="527">
        <v>10.99</v>
      </c>
      <c r="X9" s="262"/>
      <c r="Y9" s="525">
        <v>1</v>
      </c>
      <c r="Z9" s="526">
        <v>7.89</v>
      </c>
      <c r="AA9" s="527">
        <v>11.04</v>
      </c>
      <c r="AB9" s="262"/>
      <c r="AC9" s="525">
        <v>1</v>
      </c>
      <c r="AD9" s="526">
        <v>7.92</v>
      </c>
      <c r="AE9" s="527">
        <v>11.09</v>
      </c>
      <c r="AF9" s="262"/>
      <c r="AG9" s="525">
        <v>1</v>
      </c>
      <c r="AH9" s="526">
        <v>7.96</v>
      </c>
      <c r="AI9" s="527">
        <v>11.14</v>
      </c>
      <c r="AJ9" s="262"/>
      <c r="AK9" s="525">
        <v>1</v>
      </c>
      <c r="AL9" s="526">
        <v>7.99</v>
      </c>
      <c r="AM9" s="527">
        <v>11.19</v>
      </c>
      <c r="AN9" s="262"/>
      <c r="AO9" s="525">
        <v>1</v>
      </c>
      <c r="AP9" s="526">
        <v>8.0299999999999994</v>
      </c>
      <c r="AQ9" s="527">
        <v>11.24</v>
      </c>
      <c r="AR9" s="262"/>
      <c r="AS9" s="525">
        <v>1</v>
      </c>
      <c r="AT9" s="526">
        <v>8.07</v>
      </c>
      <c r="AU9" s="527">
        <v>11.29</v>
      </c>
      <c r="AV9" s="262"/>
      <c r="AW9" s="525">
        <v>1</v>
      </c>
      <c r="AX9" s="526">
        <v>8.1</v>
      </c>
      <c r="AY9" s="527">
        <v>11.35</v>
      </c>
      <c r="AZ9" s="262"/>
      <c r="BA9" s="525">
        <v>1</v>
      </c>
      <c r="BB9" s="526">
        <v>8.14</v>
      </c>
      <c r="BC9" s="527">
        <v>11.4</v>
      </c>
      <c r="BD9" s="262"/>
      <c r="BE9" s="525">
        <v>1</v>
      </c>
      <c r="BF9" s="526">
        <v>8.18</v>
      </c>
      <c r="BG9" s="527">
        <v>11.45</v>
      </c>
      <c r="BH9" s="262"/>
      <c r="BI9" s="525">
        <v>1</v>
      </c>
      <c r="BJ9" s="526">
        <v>8.2100000000000009</v>
      </c>
      <c r="BK9" s="527">
        <v>11.5</v>
      </c>
      <c r="BL9" s="262"/>
    </row>
    <row r="10" spans="1:64" ht="23.25">
      <c r="A10" s="263">
        <v>2</v>
      </c>
      <c r="B10" s="1437">
        <f t="shared" ref="B10:B73" si="0">IF($C$5=$G$5,F10,IF($C$5=$K$5,J10,IF($C$5=$O$5,N10,IF($C$5=$S$5,R10,IF($C$5=$W$5,V10,IF($C$5=$AA$5,Z10,IF($C$5=$AE$5,AD10,IF($C$5=$AI$5,AH10,IF($C$5=$AM$5,AL10,IF($C$5=$AQ$5,AP10,IF($C$5=$AU$5,AT10,IF($C$5=$AY$5,AX10,IF($C$5=$BC$5,BB10,IF($C$5=$BG$5,BF10,IF($C$5=$BK$5,BJ10,0)))))))))))))))</f>
        <v>9.39</v>
      </c>
      <c r="C10" s="1438">
        <f t="shared" ref="C10:C73" si="1">IF($C$5=$G$5,G10,IF($C$5=$K$5,K10,IF($C$5=$O$5,O10,IF($C$5=$S$5,S10,IF($C$5=$W$5,W10,IF($C$5=$AA$5,AA10,IF($C$5=$AE$5,AE10,IF($C$5=$AI$5,AI10,IF($C$5=$AM$5,AM10,IF($C$5=$AQ$5,AQ10,IF($C$5=$AU$5,AU10,IF($C$5=$AY$5,AY10,IF($C$5=$BC$5,BC10,IF($C$5=$BG$5,BG10,IF($C$5=$BK$5,BK10,0)))))))))))))))</f>
        <v>13.15</v>
      </c>
      <c r="D10" s="262"/>
      <c r="E10" s="1413">
        <v>2</v>
      </c>
      <c r="F10" s="1411">
        <v>9.1</v>
      </c>
      <c r="G10" s="1414">
        <v>12.74</v>
      </c>
      <c r="H10" s="1401"/>
      <c r="I10" s="1413">
        <v>2</v>
      </c>
      <c r="J10" s="1411">
        <v>9.17</v>
      </c>
      <c r="K10" s="1414">
        <v>12.84</v>
      </c>
      <c r="L10" s="262"/>
      <c r="M10" s="528">
        <v>2</v>
      </c>
      <c r="N10" s="526">
        <v>9.24</v>
      </c>
      <c r="O10" s="529">
        <v>12.94</v>
      </c>
      <c r="P10" s="262"/>
      <c r="Q10" s="528">
        <v>2</v>
      </c>
      <c r="R10" s="526">
        <v>9.32</v>
      </c>
      <c r="S10" s="529">
        <v>13.04</v>
      </c>
      <c r="T10" s="262"/>
      <c r="U10" s="528">
        <v>2</v>
      </c>
      <c r="V10" s="526">
        <v>9.39</v>
      </c>
      <c r="W10" s="529">
        <v>13.15</v>
      </c>
      <c r="X10" s="262"/>
      <c r="Y10" s="528">
        <v>2</v>
      </c>
      <c r="Z10" s="526">
        <v>9.4600000000000009</v>
      </c>
      <c r="AA10" s="529">
        <v>13.25</v>
      </c>
      <c r="AB10" s="262"/>
      <c r="AC10" s="528">
        <v>2</v>
      </c>
      <c r="AD10" s="526">
        <v>9.5399999999999991</v>
      </c>
      <c r="AE10" s="529">
        <v>13.35</v>
      </c>
      <c r="AF10" s="262"/>
      <c r="AG10" s="528">
        <v>2</v>
      </c>
      <c r="AH10" s="526">
        <v>9.61</v>
      </c>
      <c r="AI10" s="529">
        <v>13.45</v>
      </c>
      <c r="AJ10" s="262"/>
      <c r="AK10" s="528">
        <v>2</v>
      </c>
      <c r="AL10" s="526">
        <v>9.68</v>
      </c>
      <c r="AM10" s="529">
        <v>13.55</v>
      </c>
      <c r="AN10" s="262"/>
      <c r="AO10" s="528">
        <v>2</v>
      </c>
      <c r="AP10" s="526">
        <v>9.75</v>
      </c>
      <c r="AQ10" s="529">
        <v>13.66</v>
      </c>
      <c r="AR10" s="262"/>
      <c r="AS10" s="528">
        <v>2</v>
      </c>
      <c r="AT10" s="526">
        <v>9.83</v>
      </c>
      <c r="AU10" s="529">
        <v>13.76</v>
      </c>
      <c r="AV10" s="262"/>
      <c r="AW10" s="528">
        <v>2</v>
      </c>
      <c r="AX10" s="526">
        <v>9.9</v>
      </c>
      <c r="AY10" s="529">
        <v>13.86</v>
      </c>
      <c r="AZ10" s="262"/>
      <c r="BA10" s="528">
        <v>2</v>
      </c>
      <c r="BB10" s="526">
        <v>9.9700000000000006</v>
      </c>
      <c r="BC10" s="529">
        <v>13.96</v>
      </c>
      <c r="BD10" s="262"/>
      <c r="BE10" s="528">
        <v>2</v>
      </c>
      <c r="BF10" s="526">
        <v>10.039999999999999</v>
      </c>
      <c r="BG10" s="529">
        <v>14.06</v>
      </c>
      <c r="BH10" s="262"/>
      <c r="BI10" s="528">
        <v>2</v>
      </c>
      <c r="BJ10" s="526">
        <v>10.119999999999999</v>
      </c>
      <c r="BK10" s="529">
        <v>14.16</v>
      </c>
      <c r="BL10" s="262"/>
    </row>
    <row r="11" spans="1:64" ht="23.25">
      <c r="A11" s="263">
        <v>3</v>
      </c>
      <c r="B11" s="1437">
        <f t="shared" si="0"/>
        <v>10.93</v>
      </c>
      <c r="C11" s="1438">
        <f t="shared" si="1"/>
        <v>15.31</v>
      </c>
      <c r="D11" s="262"/>
      <c r="E11" s="1413">
        <v>3</v>
      </c>
      <c r="F11" s="1411">
        <v>10.5</v>
      </c>
      <c r="G11" s="1414">
        <v>14.69</v>
      </c>
      <c r="H11" s="1401"/>
      <c r="I11" s="1413">
        <v>3</v>
      </c>
      <c r="J11" s="1411">
        <v>10.61</v>
      </c>
      <c r="K11" s="1414">
        <v>14.85</v>
      </c>
      <c r="L11" s="262"/>
      <c r="M11" s="528">
        <v>3</v>
      </c>
      <c r="N11" s="526">
        <v>10.71</v>
      </c>
      <c r="O11" s="529">
        <v>15</v>
      </c>
      <c r="P11" s="262"/>
      <c r="Q11" s="528">
        <v>3</v>
      </c>
      <c r="R11" s="526">
        <v>10.82</v>
      </c>
      <c r="S11" s="529">
        <v>15.15</v>
      </c>
      <c r="T11" s="262"/>
      <c r="U11" s="528">
        <v>3</v>
      </c>
      <c r="V11" s="526">
        <v>10.93</v>
      </c>
      <c r="W11" s="529">
        <v>15.31</v>
      </c>
      <c r="X11" s="262"/>
      <c r="Y11" s="528">
        <v>3</v>
      </c>
      <c r="Z11" s="526">
        <v>8.91</v>
      </c>
      <c r="AA11" s="529">
        <v>15.46</v>
      </c>
      <c r="AB11" s="262"/>
      <c r="AC11" s="528">
        <v>3</v>
      </c>
      <c r="AD11" s="526">
        <v>11.15</v>
      </c>
      <c r="AE11" s="529">
        <v>15.61</v>
      </c>
      <c r="AF11" s="262"/>
      <c r="AG11" s="528">
        <v>3</v>
      </c>
      <c r="AH11" s="526">
        <v>11.26</v>
      </c>
      <c r="AI11" s="529">
        <v>15.76</v>
      </c>
      <c r="AJ11" s="262"/>
      <c r="AK11" s="528">
        <v>3</v>
      </c>
      <c r="AL11" s="526">
        <v>11.37</v>
      </c>
      <c r="AM11" s="529">
        <v>15.92</v>
      </c>
      <c r="AN11" s="262"/>
      <c r="AO11" s="528">
        <v>3</v>
      </c>
      <c r="AP11" s="526">
        <v>11.48</v>
      </c>
      <c r="AQ11" s="529">
        <v>16.07</v>
      </c>
      <c r="AR11" s="262"/>
      <c r="AS11" s="528">
        <v>3</v>
      </c>
      <c r="AT11" s="526">
        <v>11.59</v>
      </c>
      <c r="AU11" s="529">
        <v>16.22</v>
      </c>
      <c r="AV11" s="262"/>
      <c r="AW11" s="528">
        <v>3</v>
      </c>
      <c r="AX11" s="526">
        <v>11.7</v>
      </c>
      <c r="AY11" s="529">
        <v>16.38</v>
      </c>
      <c r="AZ11" s="262"/>
      <c r="BA11" s="528">
        <v>3</v>
      </c>
      <c r="BB11" s="526">
        <v>11.81</v>
      </c>
      <c r="BC11" s="529">
        <v>16.53</v>
      </c>
      <c r="BD11" s="262"/>
      <c r="BE11" s="528">
        <v>3</v>
      </c>
      <c r="BF11" s="526">
        <v>11.92</v>
      </c>
      <c r="BG11" s="529">
        <v>16.68</v>
      </c>
      <c r="BH11" s="262"/>
      <c r="BI11" s="528">
        <v>3</v>
      </c>
      <c r="BJ11" s="526">
        <v>12.02</v>
      </c>
      <c r="BK11" s="529">
        <v>16.829999999999998</v>
      </c>
      <c r="BL11" s="262"/>
    </row>
    <row r="12" spans="1:64" ht="23.25">
      <c r="A12" s="263">
        <v>4</v>
      </c>
      <c r="B12" s="1437">
        <f t="shared" si="0"/>
        <v>12.47</v>
      </c>
      <c r="C12" s="1438">
        <f t="shared" si="1"/>
        <v>17.46</v>
      </c>
      <c r="D12" s="262"/>
      <c r="E12" s="1413">
        <v>4</v>
      </c>
      <c r="F12" s="1411">
        <v>11.89</v>
      </c>
      <c r="G12" s="1414">
        <v>16.649999999999999</v>
      </c>
      <c r="H12" s="1401"/>
      <c r="I12" s="1413">
        <v>4</v>
      </c>
      <c r="J12" s="1411">
        <v>12.04</v>
      </c>
      <c r="K12" s="1414">
        <v>16.850000000000001</v>
      </c>
      <c r="L12" s="262"/>
      <c r="M12" s="528">
        <v>4</v>
      </c>
      <c r="N12" s="526">
        <v>12.18</v>
      </c>
      <c r="O12" s="529">
        <v>17.059999999999999</v>
      </c>
      <c r="P12" s="262"/>
      <c r="Q12" s="528">
        <v>4</v>
      </c>
      <c r="R12" s="526">
        <v>12.33</v>
      </c>
      <c r="S12" s="529">
        <v>17.260000000000002</v>
      </c>
      <c r="T12" s="262"/>
      <c r="U12" s="528">
        <v>4</v>
      </c>
      <c r="V12" s="526">
        <v>12.47</v>
      </c>
      <c r="W12" s="529">
        <v>17.46</v>
      </c>
      <c r="X12" s="262"/>
      <c r="Y12" s="528">
        <v>4</v>
      </c>
      <c r="Z12" s="526">
        <v>12.62</v>
      </c>
      <c r="AA12" s="529">
        <v>17.670000000000002</v>
      </c>
      <c r="AB12" s="262"/>
      <c r="AC12" s="528">
        <v>4</v>
      </c>
      <c r="AD12" s="526">
        <v>12.77</v>
      </c>
      <c r="AE12" s="529">
        <v>17.87</v>
      </c>
      <c r="AF12" s="262"/>
      <c r="AG12" s="528">
        <v>4</v>
      </c>
      <c r="AH12" s="526">
        <v>12.91</v>
      </c>
      <c r="AI12" s="529">
        <v>18.079999999999998</v>
      </c>
      <c r="AJ12" s="262"/>
      <c r="AK12" s="528">
        <v>4</v>
      </c>
      <c r="AL12" s="526">
        <v>13.06</v>
      </c>
      <c r="AM12" s="529">
        <v>18.28</v>
      </c>
      <c r="AN12" s="262"/>
      <c r="AO12" s="528">
        <v>4</v>
      </c>
      <c r="AP12" s="526">
        <v>13.2</v>
      </c>
      <c r="AQ12" s="529">
        <v>18.48</v>
      </c>
      <c r="AR12" s="262"/>
      <c r="AS12" s="528">
        <v>4</v>
      </c>
      <c r="AT12" s="526">
        <v>13.35</v>
      </c>
      <c r="AU12" s="529">
        <v>18.690000000000001</v>
      </c>
      <c r="AV12" s="262"/>
      <c r="AW12" s="528">
        <v>4</v>
      </c>
      <c r="AX12" s="526">
        <v>13.49</v>
      </c>
      <c r="AY12" s="529">
        <v>18.89</v>
      </c>
      <c r="AZ12" s="262"/>
      <c r="BA12" s="528">
        <v>4</v>
      </c>
      <c r="BB12" s="526">
        <v>13.64</v>
      </c>
      <c r="BC12" s="529">
        <v>19.100000000000001</v>
      </c>
      <c r="BD12" s="262"/>
      <c r="BE12" s="528">
        <v>4</v>
      </c>
      <c r="BF12" s="526">
        <v>13.78</v>
      </c>
      <c r="BG12" s="529">
        <v>19.3</v>
      </c>
      <c r="BH12" s="262"/>
      <c r="BI12" s="528">
        <v>4</v>
      </c>
      <c r="BJ12" s="526">
        <v>13.93</v>
      </c>
      <c r="BK12" s="529">
        <v>19.5</v>
      </c>
      <c r="BL12" s="262"/>
    </row>
    <row r="13" spans="1:64" ht="23.25">
      <c r="A13" s="263">
        <v>5</v>
      </c>
      <c r="B13" s="1437">
        <f t="shared" si="0"/>
        <v>14.02</v>
      </c>
      <c r="C13" s="1438">
        <f t="shared" si="1"/>
        <v>19.62</v>
      </c>
      <c r="D13" s="262"/>
      <c r="E13" s="1413">
        <v>5</v>
      </c>
      <c r="F13" s="1411">
        <v>13.29</v>
      </c>
      <c r="G13" s="1414">
        <v>18.600000000000001</v>
      </c>
      <c r="H13" s="1401"/>
      <c r="I13" s="1413">
        <v>5</v>
      </c>
      <c r="J13" s="1411">
        <v>13.47</v>
      </c>
      <c r="K13" s="1414">
        <v>18.86</v>
      </c>
      <c r="L13" s="262"/>
      <c r="M13" s="528">
        <v>5</v>
      </c>
      <c r="N13" s="526">
        <v>13.65</v>
      </c>
      <c r="O13" s="529">
        <v>19.11</v>
      </c>
      <c r="P13" s="262"/>
      <c r="Q13" s="528">
        <v>5</v>
      </c>
      <c r="R13" s="526">
        <v>13.84</v>
      </c>
      <c r="S13" s="529">
        <v>19.37</v>
      </c>
      <c r="T13" s="262"/>
      <c r="U13" s="528">
        <v>5</v>
      </c>
      <c r="V13" s="526">
        <v>14.02</v>
      </c>
      <c r="W13" s="529">
        <v>19.62</v>
      </c>
      <c r="X13" s="262"/>
      <c r="Y13" s="528">
        <v>5</v>
      </c>
      <c r="Z13" s="526">
        <v>14.2</v>
      </c>
      <c r="AA13" s="529">
        <v>19.88</v>
      </c>
      <c r="AB13" s="262"/>
      <c r="AC13" s="528">
        <v>5</v>
      </c>
      <c r="AD13" s="526">
        <v>14.38</v>
      </c>
      <c r="AE13" s="529">
        <v>20.13</v>
      </c>
      <c r="AF13" s="262"/>
      <c r="AG13" s="528">
        <v>5</v>
      </c>
      <c r="AH13" s="526">
        <v>14.56</v>
      </c>
      <c r="AI13" s="529">
        <v>20.39</v>
      </c>
      <c r="AJ13" s="262"/>
      <c r="AK13" s="528">
        <v>5</v>
      </c>
      <c r="AL13" s="526">
        <v>14.75</v>
      </c>
      <c r="AM13" s="529">
        <v>20.64</v>
      </c>
      <c r="AN13" s="262"/>
      <c r="AO13" s="528">
        <v>5</v>
      </c>
      <c r="AP13" s="526">
        <v>14.93</v>
      </c>
      <c r="AQ13" s="529">
        <v>20.9</v>
      </c>
      <c r="AR13" s="262"/>
      <c r="AS13" s="528">
        <v>5</v>
      </c>
      <c r="AT13" s="526">
        <v>15.11</v>
      </c>
      <c r="AU13" s="529">
        <v>21.15</v>
      </c>
      <c r="AV13" s="262"/>
      <c r="AW13" s="528">
        <v>5</v>
      </c>
      <c r="AX13" s="526">
        <v>15.29</v>
      </c>
      <c r="AY13" s="529">
        <v>21.41</v>
      </c>
      <c r="AZ13" s="262"/>
      <c r="BA13" s="528">
        <v>5</v>
      </c>
      <c r="BB13" s="526">
        <v>15.47</v>
      </c>
      <c r="BC13" s="529">
        <v>21.66</v>
      </c>
      <c r="BD13" s="262"/>
      <c r="BE13" s="528">
        <v>5</v>
      </c>
      <c r="BF13" s="526">
        <v>15.66</v>
      </c>
      <c r="BG13" s="529">
        <v>21.92</v>
      </c>
      <c r="BH13" s="262"/>
      <c r="BI13" s="528">
        <v>5</v>
      </c>
      <c r="BJ13" s="526">
        <v>15.84</v>
      </c>
      <c r="BK13" s="529">
        <v>22.17</v>
      </c>
      <c r="BL13" s="262"/>
    </row>
    <row r="14" spans="1:64" ht="23.25">
      <c r="A14" s="263">
        <v>6</v>
      </c>
      <c r="B14" s="1437">
        <f t="shared" si="0"/>
        <v>15.56</v>
      </c>
      <c r="C14" s="1438">
        <f t="shared" si="1"/>
        <v>21.78</v>
      </c>
      <c r="D14" s="262"/>
      <c r="E14" s="1413">
        <v>6</v>
      </c>
      <c r="F14" s="1411">
        <v>14.68</v>
      </c>
      <c r="G14" s="1414">
        <v>20.56</v>
      </c>
      <c r="H14" s="1401"/>
      <c r="I14" s="1413">
        <v>6</v>
      </c>
      <c r="J14" s="1411">
        <v>14.9</v>
      </c>
      <c r="K14" s="1414">
        <v>20.86</v>
      </c>
      <c r="L14" s="262"/>
      <c r="M14" s="528">
        <v>6</v>
      </c>
      <c r="N14" s="526">
        <v>15.12</v>
      </c>
      <c r="O14" s="529">
        <v>21.17</v>
      </c>
      <c r="P14" s="262"/>
      <c r="Q14" s="528">
        <v>6</v>
      </c>
      <c r="R14" s="526">
        <v>15.34</v>
      </c>
      <c r="S14" s="529">
        <v>21.48</v>
      </c>
      <c r="T14" s="262"/>
      <c r="U14" s="528">
        <v>6</v>
      </c>
      <c r="V14" s="526">
        <v>15.56</v>
      </c>
      <c r="W14" s="529">
        <v>21.78</v>
      </c>
      <c r="X14" s="262"/>
      <c r="Y14" s="528">
        <v>6</v>
      </c>
      <c r="Z14" s="526">
        <v>15.78</v>
      </c>
      <c r="AA14" s="529">
        <v>22.09</v>
      </c>
      <c r="AB14" s="262"/>
      <c r="AC14" s="528">
        <v>6</v>
      </c>
      <c r="AD14" s="526">
        <v>16</v>
      </c>
      <c r="AE14" s="529">
        <v>22.39</v>
      </c>
      <c r="AF14" s="262"/>
      <c r="AG14" s="528">
        <v>6</v>
      </c>
      <c r="AH14" s="526">
        <v>16.21</v>
      </c>
      <c r="AI14" s="529">
        <v>22.7</v>
      </c>
      <c r="AJ14" s="262"/>
      <c r="AK14" s="528">
        <v>6</v>
      </c>
      <c r="AL14" s="526">
        <v>16.43</v>
      </c>
      <c r="AM14" s="529">
        <v>23</v>
      </c>
      <c r="AN14" s="262"/>
      <c r="AO14" s="528">
        <v>6</v>
      </c>
      <c r="AP14" s="526">
        <v>16.649999999999999</v>
      </c>
      <c r="AQ14" s="529">
        <v>23.31</v>
      </c>
      <c r="AR14" s="262"/>
      <c r="AS14" s="528">
        <v>6</v>
      </c>
      <c r="AT14" s="526">
        <v>16.87</v>
      </c>
      <c r="AU14" s="529">
        <v>23.62</v>
      </c>
      <c r="AV14" s="262"/>
      <c r="AW14" s="528">
        <v>6</v>
      </c>
      <c r="AX14" s="526">
        <v>17.09</v>
      </c>
      <c r="AY14" s="529">
        <v>23.92</v>
      </c>
      <c r="AZ14" s="262"/>
      <c r="BA14" s="528">
        <v>6</v>
      </c>
      <c r="BB14" s="526">
        <v>17.309999999999999</v>
      </c>
      <c r="BC14" s="529">
        <v>24.23</v>
      </c>
      <c r="BD14" s="262"/>
      <c r="BE14" s="528">
        <v>6</v>
      </c>
      <c r="BF14" s="526">
        <v>17.52</v>
      </c>
      <c r="BG14" s="529">
        <v>24.53</v>
      </c>
      <c r="BH14" s="262"/>
      <c r="BI14" s="528">
        <v>6</v>
      </c>
      <c r="BJ14" s="526">
        <v>17.739999999999998</v>
      </c>
      <c r="BK14" s="529">
        <v>24.84</v>
      </c>
      <c r="BL14" s="262"/>
    </row>
    <row r="15" spans="1:64" ht="23.25">
      <c r="A15" s="263">
        <v>7</v>
      </c>
      <c r="B15" s="1437">
        <f t="shared" si="0"/>
        <v>17.100000000000001</v>
      </c>
      <c r="C15" s="1438">
        <f t="shared" si="1"/>
        <v>23.94</v>
      </c>
      <c r="D15" s="262"/>
      <c r="E15" s="1413">
        <v>7</v>
      </c>
      <c r="F15" s="1411">
        <v>16.079999999999998</v>
      </c>
      <c r="G15" s="1414">
        <v>22.51</v>
      </c>
      <c r="H15" s="1401"/>
      <c r="I15" s="1413">
        <v>7</v>
      </c>
      <c r="J15" s="1411">
        <v>16.34</v>
      </c>
      <c r="K15" s="1414">
        <v>22.87</v>
      </c>
      <c r="L15" s="262"/>
      <c r="M15" s="528">
        <v>7</v>
      </c>
      <c r="N15" s="526">
        <v>16.59</v>
      </c>
      <c r="O15" s="529">
        <v>23.23</v>
      </c>
      <c r="P15" s="262"/>
      <c r="Q15" s="528">
        <v>7</v>
      </c>
      <c r="R15" s="526">
        <v>16.850000000000001</v>
      </c>
      <c r="S15" s="529">
        <v>23.58</v>
      </c>
      <c r="T15" s="262"/>
      <c r="U15" s="528">
        <v>7</v>
      </c>
      <c r="V15" s="526">
        <v>17.100000000000001</v>
      </c>
      <c r="W15" s="529">
        <v>23.94</v>
      </c>
      <c r="X15" s="262"/>
      <c r="Y15" s="528">
        <v>7</v>
      </c>
      <c r="Z15" s="526">
        <v>17.36</v>
      </c>
      <c r="AA15" s="529">
        <v>24.3</v>
      </c>
      <c r="AB15" s="262"/>
      <c r="AC15" s="528">
        <v>7</v>
      </c>
      <c r="AD15" s="526">
        <v>17.61</v>
      </c>
      <c r="AE15" s="529">
        <v>24.65</v>
      </c>
      <c r="AF15" s="262"/>
      <c r="AG15" s="528">
        <v>7</v>
      </c>
      <c r="AH15" s="526">
        <v>17.86</v>
      </c>
      <c r="AI15" s="529">
        <v>25.01</v>
      </c>
      <c r="AJ15" s="262"/>
      <c r="AK15" s="528">
        <v>7</v>
      </c>
      <c r="AL15" s="526">
        <v>18.12</v>
      </c>
      <c r="AM15" s="529">
        <v>25.37</v>
      </c>
      <c r="AN15" s="262"/>
      <c r="AO15" s="528">
        <v>7</v>
      </c>
      <c r="AP15" s="526">
        <v>18.37</v>
      </c>
      <c r="AQ15" s="529">
        <v>25.72</v>
      </c>
      <c r="AR15" s="262"/>
      <c r="AS15" s="528">
        <v>7</v>
      </c>
      <c r="AT15" s="526">
        <v>18.63</v>
      </c>
      <c r="AU15" s="529">
        <v>26.08</v>
      </c>
      <c r="AV15" s="262"/>
      <c r="AW15" s="528">
        <v>7</v>
      </c>
      <c r="AX15" s="526">
        <v>18.88</v>
      </c>
      <c r="AY15" s="529">
        <v>26.44</v>
      </c>
      <c r="AZ15" s="262"/>
      <c r="BA15" s="528">
        <v>7</v>
      </c>
      <c r="BB15" s="526">
        <v>19.14</v>
      </c>
      <c r="BC15" s="529">
        <v>26.79</v>
      </c>
      <c r="BD15" s="262"/>
      <c r="BE15" s="528">
        <v>7</v>
      </c>
      <c r="BF15" s="526">
        <v>19.39</v>
      </c>
      <c r="BG15" s="529">
        <v>27.15</v>
      </c>
      <c r="BH15" s="262"/>
      <c r="BI15" s="528">
        <v>7</v>
      </c>
      <c r="BJ15" s="526">
        <v>19.649999999999999</v>
      </c>
      <c r="BK15" s="529">
        <v>27.51</v>
      </c>
      <c r="BL15" s="262"/>
    </row>
    <row r="16" spans="1:64" ht="23.25">
      <c r="A16" s="263">
        <v>8</v>
      </c>
      <c r="B16" s="1437">
        <f t="shared" si="0"/>
        <v>18.88</v>
      </c>
      <c r="C16" s="1438">
        <f t="shared" si="1"/>
        <v>26.43</v>
      </c>
      <c r="D16" s="262"/>
      <c r="E16" s="1413">
        <v>8</v>
      </c>
      <c r="F16" s="1411">
        <v>17.71</v>
      </c>
      <c r="G16" s="1414">
        <v>24.8</v>
      </c>
      <c r="H16" s="1401"/>
      <c r="I16" s="1413">
        <v>8</v>
      </c>
      <c r="J16" s="1411">
        <v>18.010000000000002</v>
      </c>
      <c r="K16" s="1414">
        <v>25.21</v>
      </c>
      <c r="L16" s="262"/>
      <c r="M16" s="528">
        <v>8</v>
      </c>
      <c r="N16" s="526">
        <v>18.3</v>
      </c>
      <c r="O16" s="529">
        <v>25.62</v>
      </c>
      <c r="P16" s="262"/>
      <c r="Q16" s="528">
        <v>8</v>
      </c>
      <c r="R16" s="526">
        <v>18.59</v>
      </c>
      <c r="S16" s="529">
        <v>26.02</v>
      </c>
      <c r="T16" s="262"/>
      <c r="U16" s="528">
        <v>8</v>
      </c>
      <c r="V16" s="526">
        <v>18.88</v>
      </c>
      <c r="W16" s="529">
        <v>26.43</v>
      </c>
      <c r="X16" s="262"/>
      <c r="Y16" s="528">
        <v>8</v>
      </c>
      <c r="Z16" s="526">
        <v>19.170000000000002</v>
      </c>
      <c r="AA16" s="529">
        <v>26.84</v>
      </c>
      <c r="AB16" s="262"/>
      <c r="AC16" s="528">
        <v>8</v>
      </c>
      <c r="AD16" s="526">
        <v>19.46</v>
      </c>
      <c r="AE16" s="529">
        <v>27.25</v>
      </c>
      <c r="AF16" s="262"/>
      <c r="AG16" s="528">
        <v>8</v>
      </c>
      <c r="AH16" s="526">
        <v>19.75</v>
      </c>
      <c r="AI16" s="529">
        <v>27.65</v>
      </c>
      <c r="AJ16" s="262"/>
      <c r="AK16" s="528">
        <v>8</v>
      </c>
      <c r="AL16" s="526">
        <v>20.04</v>
      </c>
      <c r="AM16" s="529">
        <v>28.06</v>
      </c>
      <c r="AN16" s="262"/>
      <c r="AO16" s="528">
        <v>8</v>
      </c>
      <c r="AP16" s="526">
        <v>20.34</v>
      </c>
      <c r="AQ16" s="529">
        <v>28.47</v>
      </c>
      <c r="AR16" s="262"/>
      <c r="AS16" s="528">
        <v>8</v>
      </c>
      <c r="AT16" s="526">
        <v>20.63</v>
      </c>
      <c r="AU16" s="529">
        <v>28.88</v>
      </c>
      <c r="AV16" s="262"/>
      <c r="AW16" s="528">
        <v>8</v>
      </c>
      <c r="AX16" s="526">
        <v>20.92</v>
      </c>
      <c r="AY16" s="529">
        <v>29.28</v>
      </c>
      <c r="AZ16" s="262"/>
      <c r="BA16" s="528">
        <v>8</v>
      </c>
      <c r="BB16" s="526">
        <v>21.21</v>
      </c>
      <c r="BC16" s="529">
        <v>29.69</v>
      </c>
      <c r="BD16" s="262"/>
      <c r="BE16" s="528">
        <v>8</v>
      </c>
      <c r="BF16" s="526">
        <v>21.5</v>
      </c>
      <c r="BG16" s="529">
        <v>30.1</v>
      </c>
      <c r="BH16" s="262"/>
      <c r="BI16" s="528">
        <v>8</v>
      </c>
      <c r="BJ16" s="526">
        <v>21.79</v>
      </c>
      <c r="BK16" s="529">
        <v>30.51</v>
      </c>
      <c r="BL16" s="262"/>
    </row>
    <row r="17" spans="1:64" ht="23.25">
      <c r="A17" s="263">
        <v>9</v>
      </c>
      <c r="B17" s="1437">
        <f t="shared" si="0"/>
        <v>21.08</v>
      </c>
      <c r="C17" s="1438">
        <f t="shared" si="1"/>
        <v>29.52</v>
      </c>
      <c r="D17" s="262"/>
      <c r="E17" s="1413">
        <v>9</v>
      </c>
      <c r="F17" s="1411">
        <v>19.77</v>
      </c>
      <c r="G17" s="1414">
        <v>27.68</v>
      </c>
      <c r="H17" s="1401"/>
      <c r="I17" s="1413">
        <v>9</v>
      </c>
      <c r="J17" s="1411">
        <v>20.100000000000001</v>
      </c>
      <c r="K17" s="1414">
        <v>28.14</v>
      </c>
      <c r="L17" s="262"/>
      <c r="M17" s="528">
        <v>9</v>
      </c>
      <c r="N17" s="526">
        <v>20.43</v>
      </c>
      <c r="O17" s="529">
        <v>28.6</v>
      </c>
      <c r="P17" s="262"/>
      <c r="Q17" s="528">
        <v>9</v>
      </c>
      <c r="R17" s="526">
        <v>20.76</v>
      </c>
      <c r="S17" s="529">
        <v>29.06</v>
      </c>
      <c r="T17" s="262"/>
      <c r="U17" s="528">
        <v>9</v>
      </c>
      <c r="V17" s="526">
        <v>21.08</v>
      </c>
      <c r="W17" s="529">
        <v>29.52</v>
      </c>
      <c r="X17" s="262"/>
      <c r="Y17" s="528">
        <v>9</v>
      </c>
      <c r="Z17" s="526">
        <v>21.41</v>
      </c>
      <c r="AA17" s="529">
        <v>29.97</v>
      </c>
      <c r="AB17" s="262"/>
      <c r="AC17" s="528">
        <v>9</v>
      </c>
      <c r="AD17" s="526">
        <v>21.74</v>
      </c>
      <c r="AE17" s="529">
        <v>30.43</v>
      </c>
      <c r="AF17" s="262"/>
      <c r="AG17" s="528">
        <v>9</v>
      </c>
      <c r="AH17" s="526">
        <v>22.07</v>
      </c>
      <c r="AI17" s="529">
        <v>30.89</v>
      </c>
      <c r="AJ17" s="262"/>
      <c r="AK17" s="528">
        <v>9</v>
      </c>
      <c r="AL17" s="526">
        <v>22.39</v>
      </c>
      <c r="AM17" s="529">
        <v>31.35</v>
      </c>
      <c r="AN17" s="262"/>
      <c r="AO17" s="528">
        <v>9</v>
      </c>
      <c r="AP17" s="526">
        <v>22.72</v>
      </c>
      <c r="AQ17" s="529">
        <v>31.81</v>
      </c>
      <c r="AR17" s="262"/>
      <c r="AS17" s="528">
        <v>9</v>
      </c>
      <c r="AT17" s="526">
        <v>23.05</v>
      </c>
      <c r="AU17" s="529">
        <v>32.270000000000003</v>
      </c>
      <c r="AV17" s="262"/>
      <c r="AW17" s="528">
        <v>9</v>
      </c>
      <c r="AX17" s="526">
        <v>23.38</v>
      </c>
      <c r="AY17" s="529">
        <v>32.729999999999997</v>
      </c>
      <c r="AZ17" s="262"/>
      <c r="BA17" s="528">
        <v>9</v>
      </c>
      <c r="BB17" s="526">
        <v>23.7</v>
      </c>
      <c r="BC17" s="529">
        <v>33.19</v>
      </c>
      <c r="BD17" s="262"/>
      <c r="BE17" s="528">
        <v>9</v>
      </c>
      <c r="BF17" s="526">
        <v>24.03</v>
      </c>
      <c r="BG17" s="529">
        <v>33.64</v>
      </c>
      <c r="BH17" s="262"/>
      <c r="BI17" s="528">
        <v>9</v>
      </c>
      <c r="BJ17" s="526">
        <v>24.36</v>
      </c>
      <c r="BK17" s="529">
        <v>34.1</v>
      </c>
      <c r="BL17" s="262"/>
    </row>
    <row r="18" spans="1:64" ht="23.25">
      <c r="A18" s="263">
        <v>10</v>
      </c>
      <c r="B18" s="1437">
        <f t="shared" si="0"/>
        <v>23.29</v>
      </c>
      <c r="C18" s="1438">
        <f t="shared" si="1"/>
        <v>32.6</v>
      </c>
      <c r="D18" s="262"/>
      <c r="E18" s="1413">
        <v>10</v>
      </c>
      <c r="F18" s="1411">
        <v>21.83</v>
      </c>
      <c r="G18" s="1414">
        <v>30.56</v>
      </c>
      <c r="H18" s="1401"/>
      <c r="I18" s="1413">
        <v>10</v>
      </c>
      <c r="J18" s="1411">
        <v>22.19</v>
      </c>
      <c r="K18" s="1414">
        <v>31.07</v>
      </c>
      <c r="L18" s="262"/>
      <c r="M18" s="528">
        <v>10</v>
      </c>
      <c r="N18" s="526">
        <v>22.56</v>
      </c>
      <c r="O18" s="529">
        <v>31.58</v>
      </c>
      <c r="P18" s="262"/>
      <c r="Q18" s="528">
        <v>10</v>
      </c>
      <c r="R18" s="526">
        <v>22.92</v>
      </c>
      <c r="S18" s="529">
        <v>32.090000000000003</v>
      </c>
      <c r="T18" s="262"/>
      <c r="U18" s="528">
        <v>10</v>
      </c>
      <c r="V18" s="526">
        <v>23.29</v>
      </c>
      <c r="W18" s="529">
        <v>32.6</v>
      </c>
      <c r="X18" s="262"/>
      <c r="Y18" s="528">
        <v>10</v>
      </c>
      <c r="Z18" s="526">
        <v>23.65</v>
      </c>
      <c r="AA18" s="529">
        <v>33.11</v>
      </c>
      <c r="AB18" s="262"/>
      <c r="AC18" s="528">
        <v>10</v>
      </c>
      <c r="AD18" s="526">
        <v>24.01</v>
      </c>
      <c r="AE18" s="529">
        <v>33.619999999999997</v>
      </c>
      <c r="AF18" s="262"/>
      <c r="AG18" s="528">
        <v>10</v>
      </c>
      <c r="AH18" s="526">
        <v>24.38</v>
      </c>
      <c r="AI18" s="529">
        <v>34.130000000000003</v>
      </c>
      <c r="AJ18" s="262"/>
      <c r="AK18" s="528">
        <v>10</v>
      </c>
      <c r="AL18" s="526">
        <v>24.74</v>
      </c>
      <c r="AM18" s="529">
        <v>34.64</v>
      </c>
      <c r="AN18" s="262"/>
      <c r="AO18" s="528">
        <v>10</v>
      </c>
      <c r="AP18" s="526">
        <v>25.11</v>
      </c>
      <c r="AQ18" s="529">
        <v>35.15</v>
      </c>
      <c r="AR18" s="262"/>
      <c r="AS18" s="528">
        <v>10</v>
      </c>
      <c r="AT18" s="526">
        <v>25.47</v>
      </c>
      <c r="AU18" s="529">
        <v>35.659999999999997</v>
      </c>
      <c r="AV18" s="262"/>
      <c r="AW18" s="528">
        <v>10</v>
      </c>
      <c r="AX18" s="526">
        <v>25.83</v>
      </c>
      <c r="AY18" s="529">
        <v>36.17</v>
      </c>
      <c r="AZ18" s="262"/>
      <c r="BA18" s="528">
        <v>10</v>
      </c>
      <c r="BB18" s="526">
        <v>26.2</v>
      </c>
      <c r="BC18" s="529">
        <v>36.68</v>
      </c>
      <c r="BD18" s="262"/>
      <c r="BE18" s="528">
        <v>10</v>
      </c>
      <c r="BF18" s="526">
        <v>26.56</v>
      </c>
      <c r="BG18" s="529">
        <v>37.19</v>
      </c>
      <c r="BH18" s="262"/>
      <c r="BI18" s="528">
        <v>10</v>
      </c>
      <c r="BJ18" s="526">
        <v>26.93</v>
      </c>
      <c r="BK18" s="529">
        <v>37.700000000000003</v>
      </c>
      <c r="BL18" s="262"/>
    </row>
    <row r="19" spans="1:64" ht="23.25">
      <c r="A19" s="263">
        <v>11</v>
      </c>
      <c r="B19" s="1437">
        <f t="shared" si="0"/>
        <v>25.49</v>
      </c>
      <c r="C19" s="1438">
        <f t="shared" si="1"/>
        <v>35.68</v>
      </c>
      <c r="D19" s="262"/>
      <c r="E19" s="1413">
        <v>11</v>
      </c>
      <c r="F19" s="1411">
        <v>23.89</v>
      </c>
      <c r="G19" s="1414">
        <v>33.44</v>
      </c>
      <c r="H19" s="1401"/>
      <c r="I19" s="1413">
        <v>11</v>
      </c>
      <c r="J19" s="1411">
        <v>24.29</v>
      </c>
      <c r="K19" s="1414">
        <v>34</v>
      </c>
      <c r="L19" s="262"/>
      <c r="M19" s="528">
        <v>11</v>
      </c>
      <c r="N19" s="526">
        <v>24.69</v>
      </c>
      <c r="O19" s="529">
        <v>34.56</v>
      </c>
      <c r="P19" s="262"/>
      <c r="Q19" s="528">
        <v>11</v>
      </c>
      <c r="R19" s="526">
        <v>25.09</v>
      </c>
      <c r="S19" s="529">
        <v>35.119999999999997</v>
      </c>
      <c r="T19" s="262"/>
      <c r="U19" s="528">
        <v>11</v>
      </c>
      <c r="V19" s="526">
        <v>25.49</v>
      </c>
      <c r="W19" s="529">
        <v>35.68</v>
      </c>
      <c r="X19" s="262"/>
      <c r="Y19" s="528">
        <v>11</v>
      </c>
      <c r="Z19" s="526">
        <v>25.89</v>
      </c>
      <c r="AA19" s="529">
        <v>36.24</v>
      </c>
      <c r="AB19" s="262"/>
      <c r="AC19" s="528">
        <v>11</v>
      </c>
      <c r="AD19" s="526">
        <v>26.29</v>
      </c>
      <c r="AE19" s="529">
        <v>36.799999999999997</v>
      </c>
      <c r="AF19" s="262"/>
      <c r="AG19" s="528">
        <v>11</v>
      </c>
      <c r="AH19" s="526">
        <v>26.69</v>
      </c>
      <c r="AI19" s="529">
        <v>37.36</v>
      </c>
      <c r="AJ19" s="262"/>
      <c r="AK19" s="528">
        <v>11</v>
      </c>
      <c r="AL19" s="526">
        <v>27.09</v>
      </c>
      <c r="AM19" s="529">
        <v>37.92</v>
      </c>
      <c r="AN19" s="262"/>
      <c r="AO19" s="528">
        <v>11</v>
      </c>
      <c r="AP19" s="526">
        <v>27.49</v>
      </c>
      <c r="AQ19" s="529">
        <v>38.479999999999997</v>
      </c>
      <c r="AR19" s="262"/>
      <c r="AS19" s="528">
        <v>11</v>
      </c>
      <c r="AT19" s="526">
        <v>27.89</v>
      </c>
      <c r="AU19" s="529">
        <v>39.049999999999997</v>
      </c>
      <c r="AV19" s="262"/>
      <c r="AW19" s="528">
        <v>11</v>
      </c>
      <c r="AX19" s="526">
        <v>28.29</v>
      </c>
      <c r="AY19" s="529">
        <v>39.61</v>
      </c>
      <c r="AZ19" s="262"/>
      <c r="BA19" s="528">
        <v>11</v>
      </c>
      <c r="BB19" s="526">
        <v>28.69</v>
      </c>
      <c r="BC19" s="529">
        <v>40.17</v>
      </c>
      <c r="BD19" s="262"/>
      <c r="BE19" s="528">
        <v>11</v>
      </c>
      <c r="BF19" s="526">
        <v>29.09</v>
      </c>
      <c r="BG19" s="529">
        <v>40.729999999999997</v>
      </c>
      <c r="BH19" s="262"/>
      <c r="BI19" s="528">
        <v>11</v>
      </c>
      <c r="BJ19" s="526">
        <v>29.49</v>
      </c>
      <c r="BK19" s="529">
        <v>41.29</v>
      </c>
      <c r="BL19" s="262"/>
    </row>
    <row r="20" spans="1:64" ht="23.25">
      <c r="A20" s="263">
        <v>12</v>
      </c>
      <c r="B20" s="1437">
        <f t="shared" si="0"/>
        <v>27.69</v>
      </c>
      <c r="C20" s="1438">
        <f t="shared" si="1"/>
        <v>39.76</v>
      </c>
      <c r="D20" s="262"/>
      <c r="E20" s="1413">
        <v>12</v>
      </c>
      <c r="F20" s="1411">
        <v>25.94</v>
      </c>
      <c r="G20" s="1414">
        <v>36.32</v>
      </c>
      <c r="H20" s="1401"/>
      <c r="I20" s="1413">
        <v>12</v>
      </c>
      <c r="J20" s="1411">
        <v>26.38</v>
      </c>
      <c r="K20" s="1414">
        <v>36.93</v>
      </c>
      <c r="L20" s="262"/>
      <c r="M20" s="528">
        <v>12</v>
      </c>
      <c r="N20" s="526">
        <v>26.81</v>
      </c>
      <c r="O20" s="529">
        <v>37.54</v>
      </c>
      <c r="P20" s="262"/>
      <c r="Q20" s="528">
        <v>12</v>
      </c>
      <c r="R20" s="526">
        <v>27.25</v>
      </c>
      <c r="S20" s="529">
        <v>38.15</v>
      </c>
      <c r="T20" s="262"/>
      <c r="U20" s="528">
        <v>12</v>
      </c>
      <c r="V20" s="526">
        <v>27.69</v>
      </c>
      <c r="W20" s="529">
        <v>39.76</v>
      </c>
      <c r="X20" s="262"/>
      <c r="Y20" s="528">
        <v>12</v>
      </c>
      <c r="Z20" s="526">
        <v>28.12</v>
      </c>
      <c r="AA20" s="529">
        <v>39.369999999999997</v>
      </c>
      <c r="AB20" s="262"/>
      <c r="AC20" s="528">
        <v>12</v>
      </c>
      <c r="AD20" s="526">
        <v>28.56</v>
      </c>
      <c r="AE20" s="529">
        <v>39.99</v>
      </c>
      <c r="AF20" s="262"/>
      <c r="AG20" s="528">
        <v>12</v>
      </c>
      <c r="AH20" s="526">
        <v>29</v>
      </c>
      <c r="AI20" s="529">
        <v>40.6</v>
      </c>
      <c r="AJ20" s="262"/>
      <c r="AK20" s="528">
        <v>12</v>
      </c>
      <c r="AL20" s="526">
        <v>29.44</v>
      </c>
      <c r="AM20" s="529">
        <v>41.21</v>
      </c>
      <c r="AN20" s="262"/>
      <c r="AO20" s="528">
        <v>12</v>
      </c>
      <c r="AP20" s="526">
        <v>29.87</v>
      </c>
      <c r="AQ20" s="529">
        <v>41.82</v>
      </c>
      <c r="AR20" s="262"/>
      <c r="AS20" s="528">
        <v>12</v>
      </c>
      <c r="AT20" s="526">
        <v>30.31</v>
      </c>
      <c r="AU20" s="529">
        <v>42.43</v>
      </c>
      <c r="AV20" s="262"/>
      <c r="AW20" s="528">
        <v>12</v>
      </c>
      <c r="AX20" s="526">
        <v>30.75</v>
      </c>
      <c r="AY20" s="529">
        <v>43.04</v>
      </c>
      <c r="AZ20" s="262"/>
      <c r="BA20" s="528">
        <v>12</v>
      </c>
      <c r="BB20" s="526">
        <v>31.18</v>
      </c>
      <c r="BC20" s="529">
        <v>43.66</v>
      </c>
      <c r="BD20" s="262"/>
      <c r="BE20" s="528">
        <v>12</v>
      </c>
      <c r="BF20" s="526">
        <v>31.62</v>
      </c>
      <c r="BG20" s="529">
        <v>44.27</v>
      </c>
      <c r="BH20" s="262"/>
      <c r="BI20" s="528">
        <v>12</v>
      </c>
      <c r="BJ20" s="526">
        <v>32.06</v>
      </c>
      <c r="BK20" s="529">
        <v>44.88</v>
      </c>
      <c r="BL20" s="262"/>
    </row>
    <row r="21" spans="1:64" ht="23.25">
      <c r="A21" s="263">
        <v>13</v>
      </c>
      <c r="B21" s="1437">
        <f t="shared" si="0"/>
        <v>29.89</v>
      </c>
      <c r="C21" s="1438">
        <f t="shared" si="1"/>
        <v>41.85</v>
      </c>
      <c r="D21" s="262"/>
      <c r="E21" s="1413">
        <v>13</v>
      </c>
      <c r="F21" s="1411">
        <v>28</v>
      </c>
      <c r="G21" s="1414">
        <v>39.200000000000003</v>
      </c>
      <c r="H21" s="1401"/>
      <c r="I21" s="1413">
        <v>13</v>
      </c>
      <c r="J21" s="1411">
        <v>28.47</v>
      </c>
      <c r="K21" s="1414">
        <v>39.86</v>
      </c>
      <c r="L21" s="262"/>
      <c r="M21" s="528">
        <v>13</v>
      </c>
      <c r="N21" s="526">
        <v>28.95</v>
      </c>
      <c r="O21" s="529">
        <v>40.520000000000003</v>
      </c>
      <c r="P21" s="262"/>
      <c r="Q21" s="528">
        <v>13</v>
      </c>
      <c r="R21" s="526">
        <v>29.42</v>
      </c>
      <c r="S21" s="529">
        <v>41.19</v>
      </c>
      <c r="T21" s="262"/>
      <c r="U21" s="528">
        <v>13</v>
      </c>
      <c r="V21" s="526">
        <v>29.89</v>
      </c>
      <c r="W21" s="529">
        <v>41.85</v>
      </c>
      <c r="X21" s="262"/>
      <c r="Y21" s="528">
        <v>13</v>
      </c>
      <c r="Z21" s="526">
        <v>30.37</v>
      </c>
      <c r="AA21" s="529">
        <v>42.51</v>
      </c>
      <c r="AB21" s="262"/>
      <c r="AC21" s="528">
        <v>13</v>
      </c>
      <c r="AD21" s="526">
        <v>30.84</v>
      </c>
      <c r="AE21" s="529">
        <v>43.17</v>
      </c>
      <c r="AF21" s="262"/>
      <c r="AG21" s="528">
        <v>13</v>
      </c>
      <c r="AH21" s="526">
        <v>31.31</v>
      </c>
      <c r="AI21" s="529">
        <v>43.84</v>
      </c>
      <c r="AJ21" s="262"/>
      <c r="AK21" s="528">
        <v>13</v>
      </c>
      <c r="AL21" s="526">
        <v>31.78</v>
      </c>
      <c r="AM21" s="529">
        <v>44.5</v>
      </c>
      <c r="AN21" s="262"/>
      <c r="AO21" s="528">
        <v>13</v>
      </c>
      <c r="AP21" s="526">
        <v>32.26</v>
      </c>
      <c r="AQ21" s="529">
        <v>45.16</v>
      </c>
      <c r="AR21" s="262"/>
      <c r="AS21" s="528">
        <v>13</v>
      </c>
      <c r="AT21" s="526">
        <v>32.729999999999997</v>
      </c>
      <c r="AU21" s="529">
        <v>45.82</v>
      </c>
      <c r="AV21" s="262"/>
      <c r="AW21" s="528">
        <v>13</v>
      </c>
      <c r="AX21" s="526">
        <v>33.200000000000003</v>
      </c>
      <c r="AY21" s="529">
        <v>46.49</v>
      </c>
      <c r="AZ21" s="262"/>
      <c r="BA21" s="528">
        <v>13</v>
      </c>
      <c r="BB21" s="526">
        <v>33.68</v>
      </c>
      <c r="BC21" s="529">
        <v>47.15</v>
      </c>
      <c r="BD21" s="262"/>
      <c r="BE21" s="528">
        <v>13</v>
      </c>
      <c r="BF21" s="526">
        <v>34.15</v>
      </c>
      <c r="BG21" s="529">
        <v>47.81</v>
      </c>
      <c r="BH21" s="262"/>
      <c r="BI21" s="528">
        <v>13</v>
      </c>
      <c r="BJ21" s="526">
        <v>34.619999999999997</v>
      </c>
      <c r="BK21" s="529">
        <v>48.47</v>
      </c>
      <c r="BL21" s="262"/>
    </row>
    <row r="22" spans="1:64" ht="23.25">
      <c r="A22" s="263">
        <v>14</v>
      </c>
      <c r="B22" s="1437">
        <f t="shared" si="0"/>
        <v>32.1</v>
      </c>
      <c r="C22" s="1438">
        <f t="shared" si="1"/>
        <v>44.93</v>
      </c>
      <c r="D22" s="262"/>
      <c r="E22" s="1413">
        <v>14</v>
      </c>
      <c r="F22" s="1411">
        <v>30.06</v>
      </c>
      <c r="G22" s="1414">
        <v>42.08</v>
      </c>
      <c r="H22" s="1401"/>
      <c r="I22" s="1413">
        <v>14</v>
      </c>
      <c r="J22" s="1411">
        <v>30.57</v>
      </c>
      <c r="K22" s="1414">
        <v>42.79</v>
      </c>
      <c r="L22" s="262"/>
      <c r="M22" s="528">
        <v>14</v>
      </c>
      <c r="N22" s="526">
        <v>31.08</v>
      </c>
      <c r="O22" s="529">
        <v>43.51</v>
      </c>
      <c r="P22" s="262"/>
      <c r="Q22" s="528">
        <v>14</v>
      </c>
      <c r="R22" s="526">
        <v>31.59</v>
      </c>
      <c r="S22" s="529">
        <v>44.22</v>
      </c>
      <c r="T22" s="262"/>
      <c r="U22" s="528">
        <v>14</v>
      </c>
      <c r="V22" s="526">
        <v>32.1</v>
      </c>
      <c r="W22" s="529">
        <v>44.93</v>
      </c>
      <c r="X22" s="262"/>
      <c r="Y22" s="528">
        <v>14</v>
      </c>
      <c r="Z22" s="526">
        <v>32.6</v>
      </c>
      <c r="AA22" s="529">
        <v>45.65</v>
      </c>
      <c r="AB22" s="262"/>
      <c r="AC22" s="528">
        <v>14</v>
      </c>
      <c r="AD22" s="526">
        <v>33.11</v>
      </c>
      <c r="AE22" s="529">
        <v>46.36</v>
      </c>
      <c r="AF22" s="262"/>
      <c r="AG22" s="528">
        <v>14</v>
      </c>
      <c r="AH22" s="526">
        <v>33.619999999999997</v>
      </c>
      <c r="AI22" s="529">
        <v>47.07</v>
      </c>
      <c r="AJ22" s="262"/>
      <c r="AK22" s="528">
        <v>14</v>
      </c>
      <c r="AL22" s="526">
        <v>34.130000000000003</v>
      </c>
      <c r="AM22" s="529">
        <v>47.79</v>
      </c>
      <c r="AN22" s="262"/>
      <c r="AO22" s="528">
        <v>14</v>
      </c>
      <c r="AP22" s="526">
        <v>34.64</v>
      </c>
      <c r="AQ22" s="529">
        <v>48.5</v>
      </c>
      <c r="AR22" s="262"/>
      <c r="AS22" s="528">
        <v>14</v>
      </c>
      <c r="AT22" s="526">
        <v>35.15</v>
      </c>
      <c r="AU22" s="529">
        <v>49.21</v>
      </c>
      <c r="AV22" s="262"/>
      <c r="AW22" s="528">
        <v>14</v>
      </c>
      <c r="AX22" s="526">
        <v>35.659999999999997</v>
      </c>
      <c r="AY22" s="529">
        <v>49.93</v>
      </c>
      <c r="AZ22" s="262"/>
      <c r="BA22" s="528">
        <v>14</v>
      </c>
      <c r="BB22" s="526">
        <v>36.17</v>
      </c>
      <c r="BC22" s="529">
        <v>50.64</v>
      </c>
      <c r="BD22" s="262"/>
      <c r="BE22" s="528">
        <v>14</v>
      </c>
      <c r="BF22" s="526">
        <v>36.68</v>
      </c>
      <c r="BG22" s="529">
        <v>51.35</v>
      </c>
      <c r="BH22" s="262"/>
      <c r="BI22" s="528">
        <v>14</v>
      </c>
      <c r="BJ22" s="526">
        <v>37.19</v>
      </c>
      <c r="BK22" s="529">
        <v>52.07</v>
      </c>
      <c r="BL22" s="262"/>
    </row>
    <row r="23" spans="1:64" ht="23.25">
      <c r="A23" s="263">
        <v>15</v>
      </c>
      <c r="B23" s="1437">
        <f t="shared" si="0"/>
        <v>34.299999999999997</v>
      </c>
      <c r="C23" s="1438">
        <f t="shared" si="1"/>
        <v>48.02</v>
      </c>
      <c r="D23" s="262"/>
      <c r="E23" s="1413">
        <v>15</v>
      </c>
      <c r="F23" s="1411">
        <v>32.11</v>
      </c>
      <c r="G23" s="1414">
        <v>44.96</v>
      </c>
      <c r="H23" s="1401"/>
      <c r="I23" s="1413">
        <v>15</v>
      </c>
      <c r="J23" s="1411">
        <v>32.659999999999997</v>
      </c>
      <c r="K23" s="1414">
        <v>45.72</v>
      </c>
      <c r="L23" s="262"/>
      <c r="M23" s="528">
        <v>15</v>
      </c>
      <c r="N23" s="526">
        <v>33.200000000000003</v>
      </c>
      <c r="O23" s="529">
        <v>46.49</v>
      </c>
      <c r="P23" s="262"/>
      <c r="Q23" s="528">
        <v>15</v>
      </c>
      <c r="R23" s="526">
        <v>33.75</v>
      </c>
      <c r="S23" s="529">
        <v>47.25</v>
      </c>
      <c r="T23" s="262"/>
      <c r="U23" s="528">
        <v>15</v>
      </c>
      <c r="V23" s="526">
        <v>34.299999999999997</v>
      </c>
      <c r="W23" s="529">
        <v>48.02</v>
      </c>
      <c r="X23" s="262"/>
      <c r="Y23" s="528">
        <v>15</v>
      </c>
      <c r="Z23" s="526">
        <v>34.840000000000003</v>
      </c>
      <c r="AA23" s="529">
        <v>48.78</v>
      </c>
      <c r="AB23" s="262"/>
      <c r="AC23" s="528">
        <v>15</v>
      </c>
      <c r="AD23" s="526">
        <v>35.39</v>
      </c>
      <c r="AE23" s="529">
        <v>49.54</v>
      </c>
      <c r="AF23" s="262"/>
      <c r="AG23" s="528">
        <v>15</v>
      </c>
      <c r="AH23" s="526">
        <v>35.93</v>
      </c>
      <c r="AI23" s="529">
        <v>50.31</v>
      </c>
      <c r="AJ23" s="262"/>
      <c r="AK23" s="528">
        <v>15</v>
      </c>
      <c r="AL23" s="526">
        <v>36.479999999999997</v>
      </c>
      <c r="AM23" s="529">
        <v>51.07</v>
      </c>
      <c r="AN23" s="262"/>
      <c r="AO23" s="528">
        <v>15</v>
      </c>
      <c r="AP23" s="526">
        <v>37.03</v>
      </c>
      <c r="AQ23" s="529">
        <v>51.84</v>
      </c>
      <c r="AR23" s="262"/>
      <c r="AS23" s="528">
        <v>15</v>
      </c>
      <c r="AT23" s="526">
        <v>37.57</v>
      </c>
      <c r="AU23" s="529">
        <v>52.6</v>
      </c>
      <c r="AV23" s="262"/>
      <c r="AW23" s="528">
        <v>15</v>
      </c>
      <c r="AX23" s="526">
        <v>38.119999999999997</v>
      </c>
      <c r="AY23" s="529">
        <v>53.37</v>
      </c>
      <c r="AZ23" s="262"/>
      <c r="BA23" s="528">
        <v>15</v>
      </c>
      <c r="BB23" s="526">
        <v>38.659999999999997</v>
      </c>
      <c r="BC23" s="529">
        <v>54.13</v>
      </c>
      <c r="BD23" s="262"/>
      <c r="BE23" s="528">
        <v>15</v>
      </c>
      <c r="BF23" s="526">
        <v>39.21</v>
      </c>
      <c r="BG23" s="529">
        <v>54.89</v>
      </c>
      <c r="BH23" s="262"/>
      <c r="BI23" s="528">
        <v>15</v>
      </c>
      <c r="BJ23" s="526">
        <v>39.76</v>
      </c>
      <c r="BK23" s="529">
        <v>55.66</v>
      </c>
      <c r="BL23" s="262"/>
    </row>
    <row r="24" spans="1:64" ht="23.25">
      <c r="A24" s="263">
        <v>16</v>
      </c>
      <c r="B24" s="1437">
        <f t="shared" si="0"/>
        <v>36.5</v>
      </c>
      <c r="C24" s="1438">
        <f t="shared" si="1"/>
        <v>51.1</v>
      </c>
      <c r="D24" s="262"/>
      <c r="E24" s="1413">
        <v>16</v>
      </c>
      <c r="F24" s="1411">
        <v>34.17</v>
      </c>
      <c r="G24" s="1414">
        <v>47.84</v>
      </c>
      <c r="H24" s="1401"/>
      <c r="I24" s="1413">
        <v>16</v>
      </c>
      <c r="J24" s="1411">
        <v>34.75</v>
      </c>
      <c r="K24" s="1414">
        <v>48.66</v>
      </c>
      <c r="L24" s="262"/>
      <c r="M24" s="528">
        <v>16</v>
      </c>
      <c r="N24" s="526">
        <v>35.340000000000003</v>
      </c>
      <c r="O24" s="529">
        <v>49.47</v>
      </c>
      <c r="P24" s="262"/>
      <c r="Q24" s="528">
        <v>16</v>
      </c>
      <c r="R24" s="526">
        <v>35.92</v>
      </c>
      <c r="S24" s="529">
        <v>50.29</v>
      </c>
      <c r="T24" s="262"/>
      <c r="U24" s="528">
        <v>16</v>
      </c>
      <c r="V24" s="526">
        <v>36.5</v>
      </c>
      <c r="W24" s="529">
        <v>51.1</v>
      </c>
      <c r="X24" s="262"/>
      <c r="Y24" s="528">
        <v>16</v>
      </c>
      <c r="Z24" s="526">
        <v>37.08</v>
      </c>
      <c r="AA24" s="529">
        <v>51.92</v>
      </c>
      <c r="AB24" s="262"/>
      <c r="AC24" s="528">
        <v>16</v>
      </c>
      <c r="AD24" s="526">
        <v>37.67</v>
      </c>
      <c r="AE24" s="529">
        <v>52.73</v>
      </c>
      <c r="AF24" s="262"/>
      <c r="AG24" s="528">
        <v>16</v>
      </c>
      <c r="AH24" s="526">
        <v>38.25</v>
      </c>
      <c r="AI24" s="529">
        <v>53.55</v>
      </c>
      <c r="AJ24" s="262"/>
      <c r="AK24" s="528">
        <v>16</v>
      </c>
      <c r="AL24" s="526">
        <v>38.83</v>
      </c>
      <c r="AM24" s="529">
        <v>54.36</v>
      </c>
      <c r="AN24" s="262"/>
      <c r="AO24" s="528">
        <v>16</v>
      </c>
      <c r="AP24" s="526">
        <v>39.409999999999997</v>
      </c>
      <c r="AQ24" s="529">
        <v>55.18</v>
      </c>
      <c r="AR24" s="262"/>
      <c r="AS24" s="528">
        <v>16</v>
      </c>
      <c r="AT24" s="526">
        <v>40</v>
      </c>
      <c r="AU24" s="529">
        <v>55.99</v>
      </c>
      <c r="AV24" s="262"/>
      <c r="AW24" s="528">
        <v>16</v>
      </c>
      <c r="AX24" s="526">
        <v>40.58</v>
      </c>
      <c r="AY24" s="529">
        <v>56.81</v>
      </c>
      <c r="AZ24" s="262"/>
      <c r="BA24" s="528">
        <v>16</v>
      </c>
      <c r="BB24" s="526">
        <v>41.16</v>
      </c>
      <c r="BC24" s="529">
        <v>57.62</v>
      </c>
      <c r="BD24" s="262"/>
      <c r="BE24" s="528">
        <v>16</v>
      </c>
      <c r="BF24" s="526">
        <v>41.74</v>
      </c>
      <c r="BG24" s="529">
        <v>58.44</v>
      </c>
      <c r="BH24" s="262"/>
      <c r="BI24" s="528">
        <v>16</v>
      </c>
      <c r="BJ24" s="526">
        <v>42.33</v>
      </c>
      <c r="BK24" s="529">
        <v>59.26</v>
      </c>
      <c r="BL24" s="262"/>
    </row>
    <row r="25" spans="1:64" ht="23.25">
      <c r="A25" s="263">
        <v>17</v>
      </c>
      <c r="B25" s="1437">
        <f t="shared" si="0"/>
        <v>38.700000000000003</v>
      </c>
      <c r="C25" s="1438">
        <f t="shared" si="1"/>
        <v>54.18</v>
      </c>
      <c r="D25" s="262"/>
      <c r="E25" s="1413">
        <v>17</v>
      </c>
      <c r="F25" s="1411">
        <v>36.229999999999997</v>
      </c>
      <c r="G25" s="1414">
        <v>50.72</v>
      </c>
      <c r="H25" s="1401"/>
      <c r="I25" s="1413">
        <v>17</v>
      </c>
      <c r="J25" s="1411">
        <v>36.85</v>
      </c>
      <c r="K25" s="1414">
        <v>51.58</v>
      </c>
      <c r="L25" s="262"/>
      <c r="M25" s="528">
        <v>17</v>
      </c>
      <c r="N25" s="526">
        <v>37.46</v>
      </c>
      <c r="O25" s="529">
        <v>52.45</v>
      </c>
      <c r="P25" s="262"/>
      <c r="Q25" s="528">
        <v>17</v>
      </c>
      <c r="R25" s="526">
        <v>38.08</v>
      </c>
      <c r="S25" s="529">
        <v>53.32</v>
      </c>
      <c r="T25" s="262"/>
      <c r="U25" s="528">
        <v>17</v>
      </c>
      <c r="V25" s="526">
        <v>38.700000000000003</v>
      </c>
      <c r="W25" s="529">
        <v>54.18</v>
      </c>
      <c r="X25" s="262"/>
      <c r="Y25" s="528">
        <v>17</v>
      </c>
      <c r="Z25" s="526">
        <v>39.32</v>
      </c>
      <c r="AA25" s="529">
        <v>55.05</v>
      </c>
      <c r="AB25" s="262"/>
      <c r="AC25" s="528">
        <v>17</v>
      </c>
      <c r="AD25" s="526">
        <v>39.94</v>
      </c>
      <c r="AE25" s="529">
        <v>55.91</v>
      </c>
      <c r="AF25" s="262"/>
      <c r="AG25" s="528">
        <v>17</v>
      </c>
      <c r="AH25" s="526">
        <v>40.56</v>
      </c>
      <c r="AI25" s="529">
        <v>56.78</v>
      </c>
      <c r="AJ25" s="262"/>
      <c r="AK25" s="528">
        <v>17</v>
      </c>
      <c r="AL25" s="526">
        <v>41.18</v>
      </c>
      <c r="AM25" s="529">
        <v>57.65</v>
      </c>
      <c r="AN25" s="262"/>
      <c r="AO25" s="528">
        <v>17</v>
      </c>
      <c r="AP25" s="526">
        <v>41.8</v>
      </c>
      <c r="AQ25" s="529">
        <v>58.51</v>
      </c>
      <c r="AR25" s="262"/>
      <c r="AS25" s="528">
        <v>17</v>
      </c>
      <c r="AT25" s="526">
        <v>42.41</v>
      </c>
      <c r="AU25" s="529">
        <v>59.38</v>
      </c>
      <c r="AV25" s="262"/>
      <c r="AW25" s="528">
        <v>17</v>
      </c>
      <c r="AX25" s="526">
        <v>43.03</v>
      </c>
      <c r="AY25" s="529">
        <v>60.25</v>
      </c>
      <c r="AZ25" s="262"/>
      <c r="BA25" s="528">
        <v>17</v>
      </c>
      <c r="BB25" s="526">
        <v>43.65</v>
      </c>
      <c r="BC25" s="529">
        <v>61.11</v>
      </c>
      <c r="BD25" s="262"/>
      <c r="BE25" s="528">
        <v>17</v>
      </c>
      <c r="BF25" s="526">
        <v>44.27</v>
      </c>
      <c r="BG25" s="529">
        <v>61.98</v>
      </c>
      <c r="BH25" s="262"/>
      <c r="BI25" s="528">
        <v>17</v>
      </c>
      <c r="BJ25" s="526">
        <v>44.89</v>
      </c>
      <c r="BK25" s="529">
        <v>62.85</v>
      </c>
      <c r="BL25" s="262"/>
    </row>
    <row r="26" spans="1:64" ht="23.25">
      <c r="A26" s="263">
        <v>18</v>
      </c>
      <c r="B26" s="1437">
        <f t="shared" si="0"/>
        <v>40.9</v>
      </c>
      <c r="C26" s="1438">
        <f t="shared" si="1"/>
        <v>57.26</v>
      </c>
      <c r="D26" s="262"/>
      <c r="E26" s="1413">
        <v>18</v>
      </c>
      <c r="F26" s="1411">
        <v>38.28</v>
      </c>
      <c r="G26" s="1414">
        <v>53.59</v>
      </c>
      <c r="H26" s="1401"/>
      <c r="I26" s="1413">
        <v>18</v>
      </c>
      <c r="J26" s="1411">
        <v>38.94</v>
      </c>
      <c r="K26" s="1414">
        <v>54.51</v>
      </c>
      <c r="L26" s="262"/>
      <c r="M26" s="528">
        <v>18</v>
      </c>
      <c r="N26" s="526">
        <v>39.590000000000003</v>
      </c>
      <c r="O26" s="529">
        <v>55.43</v>
      </c>
      <c r="P26" s="262"/>
      <c r="Q26" s="528">
        <v>18</v>
      </c>
      <c r="R26" s="526">
        <v>40.25</v>
      </c>
      <c r="S26" s="529">
        <v>56.34</v>
      </c>
      <c r="T26" s="262"/>
      <c r="U26" s="528">
        <v>18</v>
      </c>
      <c r="V26" s="526">
        <v>40.9</v>
      </c>
      <c r="W26" s="529">
        <v>57.26</v>
      </c>
      <c r="X26" s="262"/>
      <c r="Y26" s="528">
        <v>18</v>
      </c>
      <c r="Z26" s="526">
        <v>41.56</v>
      </c>
      <c r="AA26" s="529">
        <v>58.18</v>
      </c>
      <c r="AB26" s="262"/>
      <c r="AC26" s="528">
        <v>18</v>
      </c>
      <c r="AD26" s="526">
        <v>42.21</v>
      </c>
      <c r="AE26" s="529">
        <v>59.1</v>
      </c>
      <c r="AF26" s="262"/>
      <c r="AG26" s="528">
        <v>18</v>
      </c>
      <c r="AH26" s="526">
        <v>42.87</v>
      </c>
      <c r="AI26" s="529">
        <v>60.01</v>
      </c>
      <c r="AJ26" s="262"/>
      <c r="AK26" s="528">
        <v>18</v>
      </c>
      <c r="AL26" s="526">
        <v>43.52</v>
      </c>
      <c r="AM26" s="529">
        <v>60.93</v>
      </c>
      <c r="AN26" s="262"/>
      <c r="AO26" s="528">
        <v>18</v>
      </c>
      <c r="AP26" s="526">
        <v>44.18</v>
      </c>
      <c r="AQ26" s="529">
        <v>61.85</v>
      </c>
      <c r="AR26" s="262"/>
      <c r="AS26" s="528">
        <v>18</v>
      </c>
      <c r="AT26" s="526">
        <v>44.83</v>
      </c>
      <c r="AU26" s="529">
        <v>62.77</v>
      </c>
      <c r="AV26" s="262"/>
      <c r="AW26" s="528">
        <v>18</v>
      </c>
      <c r="AX26" s="526">
        <v>45.49</v>
      </c>
      <c r="AY26" s="529">
        <v>63.68</v>
      </c>
      <c r="AZ26" s="262"/>
      <c r="BA26" s="528">
        <v>18</v>
      </c>
      <c r="BB26" s="526">
        <v>46.14</v>
      </c>
      <c r="BC26" s="529">
        <v>64.599999999999994</v>
      </c>
      <c r="BD26" s="262"/>
      <c r="BE26" s="528">
        <v>18</v>
      </c>
      <c r="BF26" s="526">
        <v>46.8</v>
      </c>
      <c r="BG26" s="529">
        <v>65.52</v>
      </c>
      <c r="BH26" s="262"/>
      <c r="BI26" s="528">
        <v>18</v>
      </c>
      <c r="BJ26" s="526">
        <v>47.45</v>
      </c>
      <c r="BK26" s="529">
        <v>66.430000000000007</v>
      </c>
      <c r="BL26" s="262"/>
    </row>
    <row r="27" spans="1:64" ht="23.25">
      <c r="A27" s="263">
        <v>19</v>
      </c>
      <c r="B27" s="1437">
        <f t="shared" si="0"/>
        <v>43.11</v>
      </c>
      <c r="C27" s="1438">
        <f t="shared" si="1"/>
        <v>60.35</v>
      </c>
      <c r="D27" s="262"/>
      <c r="E27" s="1413">
        <v>19</v>
      </c>
      <c r="F27" s="1411">
        <v>40.340000000000003</v>
      </c>
      <c r="G27" s="1414">
        <v>56.48</v>
      </c>
      <c r="H27" s="1401"/>
      <c r="I27" s="1413">
        <v>19</v>
      </c>
      <c r="J27" s="1411">
        <v>41.03</v>
      </c>
      <c r="K27" s="1414">
        <v>57.45</v>
      </c>
      <c r="L27" s="262"/>
      <c r="M27" s="528">
        <v>19</v>
      </c>
      <c r="N27" s="526">
        <v>41.73</v>
      </c>
      <c r="O27" s="529">
        <v>58.42</v>
      </c>
      <c r="P27" s="262"/>
      <c r="Q27" s="528">
        <v>19</v>
      </c>
      <c r="R27" s="526">
        <v>42.42</v>
      </c>
      <c r="S27" s="529">
        <v>59.38</v>
      </c>
      <c r="T27" s="262"/>
      <c r="U27" s="528">
        <v>19</v>
      </c>
      <c r="V27" s="526">
        <v>43.11</v>
      </c>
      <c r="W27" s="529">
        <v>60.35</v>
      </c>
      <c r="X27" s="262"/>
      <c r="Y27" s="528">
        <v>19</v>
      </c>
      <c r="Z27" s="526">
        <v>43.8</v>
      </c>
      <c r="AA27" s="529">
        <v>61.32</v>
      </c>
      <c r="AB27" s="262"/>
      <c r="AC27" s="528">
        <v>19</v>
      </c>
      <c r="AD27" s="526">
        <v>44.49</v>
      </c>
      <c r="AE27" s="529">
        <v>62.29</v>
      </c>
      <c r="AF27" s="262"/>
      <c r="AG27" s="528">
        <v>19</v>
      </c>
      <c r="AH27" s="526">
        <v>45.18</v>
      </c>
      <c r="AI27" s="529">
        <v>63.26</v>
      </c>
      <c r="AJ27" s="262"/>
      <c r="AK27" s="528">
        <v>19</v>
      </c>
      <c r="AL27" s="526">
        <v>45.88</v>
      </c>
      <c r="AM27" s="529">
        <v>64.23</v>
      </c>
      <c r="AN27" s="262"/>
      <c r="AO27" s="528">
        <v>19</v>
      </c>
      <c r="AP27" s="526">
        <v>46.57</v>
      </c>
      <c r="AQ27" s="529">
        <v>65.19</v>
      </c>
      <c r="AR27" s="262"/>
      <c r="AS27" s="528">
        <v>19</v>
      </c>
      <c r="AT27" s="526">
        <v>47.26</v>
      </c>
      <c r="AU27" s="529">
        <v>66.16</v>
      </c>
      <c r="AV27" s="262"/>
      <c r="AW27" s="528">
        <v>19</v>
      </c>
      <c r="AX27" s="526">
        <v>47.95</v>
      </c>
      <c r="AY27" s="529">
        <v>67.13</v>
      </c>
      <c r="AZ27" s="262"/>
      <c r="BA27" s="528">
        <v>19</v>
      </c>
      <c r="BB27" s="526">
        <v>48.64</v>
      </c>
      <c r="BC27" s="529">
        <v>68.099999999999994</v>
      </c>
      <c r="BD27" s="262"/>
      <c r="BE27" s="528">
        <v>19</v>
      </c>
      <c r="BF27" s="526">
        <v>49.33</v>
      </c>
      <c r="BG27" s="529">
        <v>69.069999999999993</v>
      </c>
      <c r="BH27" s="262"/>
      <c r="BI27" s="528">
        <v>19</v>
      </c>
      <c r="BJ27" s="526">
        <v>50.03</v>
      </c>
      <c r="BK27" s="529">
        <v>70.040000000000006</v>
      </c>
      <c r="BL27" s="262"/>
    </row>
    <row r="28" spans="1:64" ht="23.25">
      <c r="A28" s="263">
        <v>20</v>
      </c>
      <c r="B28" s="1437">
        <f t="shared" si="0"/>
        <v>45.31</v>
      </c>
      <c r="C28" s="1438">
        <f t="shared" si="1"/>
        <v>63.44</v>
      </c>
      <c r="D28" s="262"/>
      <c r="E28" s="1413">
        <v>20</v>
      </c>
      <c r="F28" s="1411">
        <v>42.4</v>
      </c>
      <c r="G28" s="1414">
        <v>59.36</v>
      </c>
      <c r="H28" s="1401"/>
      <c r="I28" s="1413">
        <v>20</v>
      </c>
      <c r="J28" s="1411">
        <v>43.13</v>
      </c>
      <c r="K28" s="1414">
        <v>60.38</v>
      </c>
      <c r="L28" s="262"/>
      <c r="M28" s="528">
        <v>20</v>
      </c>
      <c r="N28" s="526">
        <v>43.86</v>
      </c>
      <c r="O28" s="529">
        <v>61.4</v>
      </c>
      <c r="P28" s="262"/>
      <c r="Q28" s="528">
        <v>20</v>
      </c>
      <c r="R28" s="526">
        <v>44.58</v>
      </c>
      <c r="S28" s="529">
        <v>62.42</v>
      </c>
      <c r="T28" s="262"/>
      <c r="U28" s="528">
        <v>20</v>
      </c>
      <c r="V28" s="526">
        <v>45.31</v>
      </c>
      <c r="W28" s="529">
        <v>63.44</v>
      </c>
      <c r="X28" s="262"/>
      <c r="Y28" s="528">
        <v>20</v>
      </c>
      <c r="Z28" s="526">
        <v>46.04</v>
      </c>
      <c r="AA28" s="529">
        <v>64.459999999999994</v>
      </c>
      <c r="AB28" s="262"/>
      <c r="AC28" s="528">
        <v>20</v>
      </c>
      <c r="AD28" s="526">
        <v>46.77</v>
      </c>
      <c r="AE28" s="529">
        <v>65.48</v>
      </c>
      <c r="AF28" s="262"/>
      <c r="AG28" s="528">
        <v>20</v>
      </c>
      <c r="AH28" s="526">
        <v>47.5</v>
      </c>
      <c r="AI28" s="529">
        <v>66.489999999999995</v>
      </c>
      <c r="AJ28" s="262"/>
      <c r="AK28" s="528">
        <v>20</v>
      </c>
      <c r="AL28" s="526">
        <v>48.22</v>
      </c>
      <c r="AM28" s="529">
        <v>67.510000000000005</v>
      </c>
      <c r="AN28" s="262"/>
      <c r="AO28" s="528">
        <v>20</v>
      </c>
      <c r="AP28" s="526">
        <v>48.95</v>
      </c>
      <c r="AQ28" s="529">
        <v>68.53</v>
      </c>
      <c r="AR28" s="262"/>
      <c r="AS28" s="528">
        <v>20</v>
      </c>
      <c r="AT28" s="526">
        <v>49.68</v>
      </c>
      <c r="AU28" s="529">
        <v>69.55</v>
      </c>
      <c r="AV28" s="262"/>
      <c r="AW28" s="528">
        <v>20</v>
      </c>
      <c r="AX28" s="526">
        <v>50.41</v>
      </c>
      <c r="AY28" s="529">
        <v>70.569999999999993</v>
      </c>
      <c r="AZ28" s="262"/>
      <c r="BA28" s="528">
        <v>20</v>
      </c>
      <c r="BB28" s="526">
        <v>51.14</v>
      </c>
      <c r="BC28" s="529">
        <v>71.59</v>
      </c>
      <c r="BD28" s="262"/>
      <c r="BE28" s="528">
        <v>20</v>
      </c>
      <c r="BF28" s="526">
        <v>51.86</v>
      </c>
      <c r="BG28" s="529">
        <v>72.61</v>
      </c>
      <c r="BH28" s="262"/>
      <c r="BI28" s="528">
        <v>20</v>
      </c>
      <c r="BJ28" s="526">
        <v>52.59</v>
      </c>
      <c r="BK28" s="529">
        <v>73.63</v>
      </c>
      <c r="BL28" s="262"/>
    </row>
    <row r="29" spans="1:64" ht="23.25">
      <c r="A29" s="263">
        <v>21</v>
      </c>
      <c r="B29" s="1437">
        <f t="shared" si="0"/>
        <v>47.51</v>
      </c>
      <c r="C29" s="1438">
        <f t="shared" si="1"/>
        <v>66.52</v>
      </c>
      <c r="D29" s="262"/>
      <c r="E29" s="1413">
        <v>21</v>
      </c>
      <c r="F29" s="1411">
        <v>44.45</v>
      </c>
      <c r="G29" s="1414">
        <v>62.23</v>
      </c>
      <c r="H29" s="1401"/>
      <c r="I29" s="1413">
        <v>21</v>
      </c>
      <c r="J29" s="1411">
        <v>45.22</v>
      </c>
      <c r="K29" s="1414">
        <v>63.31</v>
      </c>
      <c r="L29" s="262"/>
      <c r="M29" s="528">
        <v>21</v>
      </c>
      <c r="N29" s="526">
        <v>45.98</v>
      </c>
      <c r="O29" s="529">
        <v>64.38</v>
      </c>
      <c r="P29" s="262"/>
      <c r="Q29" s="528">
        <v>21</v>
      </c>
      <c r="R29" s="526">
        <v>46.75</v>
      </c>
      <c r="S29" s="529">
        <v>65.45</v>
      </c>
      <c r="T29" s="262"/>
      <c r="U29" s="528">
        <v>21</v>
      </c>
      <c r="V29" s="526">
        <v>47.51</v>
      </c>
      <c r="W29" s="529">
        <v>66.52</v>
      </c>
      <c r="X29" s="262"/>
      <c r="Y29" s="528">
        <v>21</v>
      </c>
      <c r="Z29" s="526">
        <v>48.28</v>
      </c>
      <c r="AA29" s="529">
        <v>67.59</v>
      </c>
      <c r="AB29" s="262"/>
      <c r="AC29" s="528">
        <v>21</v>
      </c>
      <c r="AD29" s="526">
        <v>49.04</v>
      </c>
      <c r="AE29" s="529">
        <v>68.66</v>
      </c>
      <c r="AF29" s="262"/>
      <c r="AG29" s="528">
        <v>21</v>
      </c>
      <c r="AH29" s="526">
        <v>49.8</v>
      </c>
      <c r="AI29" s="529">
        <v>69.73</v>
      </c>
      <c r="AJ29" s="262"/>
      <c r="AK29" s="528">
        <v>21</v>
      </c>
      <c r="AL29" s="526">
        <v>5.57</v>
      </c>
      <c r="AM29" s="529">
        <v>70.8</v>
      </c>
      <c r="AN29" s="262"/>
      <c r="AO29" s="528">
        <v>21</v>
      </c>
      <c r="AP29" s="526">
        <v>51.33</v>
      </c>
      <c r="AQ29" s="529">
        <v>71.87</v>
      </c>
      <c r="AR29" s="262"/>
      <c r="AS29" s="528">
        <v>21</v>
      </c>
      <c r="AT29" s="526">
        <v>52.1</v>
      </c>
      <c r="AU29" s="529">
        <v>72.94</v>
      </c>
      <c r="AV29" s="262"/>
      <c r="AW29" s="528">
        <v>21</v>
      </c>
      <c r="AX29" s="526">
        <v>52.86</v>
      </c>
      <c r="AY29" s="529">
        <v>74.010000000000005</v>
      </c>
      <c r="AZ29" s="262"/>
      <c r="BA29" s="528">
        <v>21</v>
      </c>
      <c r="BB29" s="526">
        <v>53.63</v>
      </c>
      <c r="BC29" s="529">
        <v>75.08</v>
      </c>
      <c r="BD29" s="262"/>
      <c r="BE29" s="528">
        <v>21</v>
      </c>
      <c r="BF29" s="526">
        <v>54.39</v>
      </c>
      <c r="BG29" s="529">
        <v>76.150000000000006</v>
      </c>
      <c r="BH29" s="262"/>
      <c r="BI29" s="528">
        <v>21</v>
      </c>
      <c r="BJ29" s="526">
        <v>55.16</v>
      </c>
      <c r="BK29" s="529">
        <v>77.22</v>
      </c>
      <c r="BL29" s="262"/>
    </row>
    <row r="30" spans="1:64" ht="23.25">
      <c r="A30" s="263">
        <v>22</v>
      </c>
      <c r="B30" s="1437">
        <f t="shared" si="0"/>
        <v>49.72</v>
      </c>
      <c r="C30" s="1438">
        <f t="shared" si="1"/>
        <v>69.61</v>
      </c>
      <c r="D30" s="262"/>
      <c r="E30" s="1413">
        <v>22</v>
      </c>
      <c r="F30" s="1411">
        <v>46.52</v>
      </c>
      <c r="G30" s="1414">
        <v>65.12</v>
      </c>
      <c r="H30" s="1401"/>
      <c r="I30" s="1413">
        <v>22</v>
      </c>
      <c r="J30" s="1411">
        <v>47.32</v>
      </c>
      <c r="K30" s="1414">
        <v>66.239999999999995</v>
      </c>
      <c r="L30" s="262"/>
      <c r="M30" s="528">
        <v>22</v>
      </c>
      <c r="N30" s="526">
        <v>48.12</v>
      </c>
      <c r="O30" s="529">
        <v>67.37</v>
      </c>
      <c r="P30" s="262"/>
      <c r="Q30" s="528">
        <v>22</v>
      </c>
      <c r="R30" s="526">
        <v>48.92</v>
      </c>
      <c r="S30" s="529">
        <v>68.489999999999995</v>
      </c>
      <c r="T30" s="262"/>
      <c r="U30" s="528">
        <v>22</v>
      </c>
      <c r="V30" s="526">
        <v>49.72</v>
      </c>
      <c r="W30" s="529">
        <v>69.61</v>
      </c>
      <c r="X30" s="262"/>
      <c r="Y30" s="528">
        <v>22</v>
      </c>
      <c r="Z30" s="526">
        <v>50.52</v>
      </c>
      <c r="AA30" s="529">
        <v>70.73</v>
      </c>
      <c r="AB30" s="262"/>
      <c r="AC30" s="528">
        <v>22</v>
      </c>
      <c r="AD30" s="526">
        <v>51.32</v>
      </c>
      <c r="AE30" s="529">
        <v>71.849999999999994</v>
      </c>
      <c r="AF30" s="262"/>
      <c r="AG30" s="528">
        <v>22</v>
      </c>
      <c r="AH30" s="526">
        <v>52.12</v>
      </c>
      <c r="AI30" s="529">
        <v>72.97</v>
      </c>
      <c r="AJ30" s="262"/>
      <c r="AK30" s="528">
        <v>22</v>
      </c>
      <c r="AL30" s="526">
        <v>52.92</v>
      </c>
      <c r="AM30" s="529">
        <v>74.09</v>
      </c>
      <c r="AN30" s="262"/>
      <c r="AO30" s="528">
        <v>22</v>
      </c>
      <c r="AP30" s="526">
        <v>53.72</v>
      </c>
      <c r="AQ30" s="529">
        <v>75.209999999999994</v>
      </c>
      <c r="AR30" s="262"/>
      <c r="AS30" s="528">
        <v>22</v>
      </c>
      <c r="AT30" s="526">
        <v>54.52</v>
      </c>
      <c r="AU30" s="529">
        <v>76.33</v>
      </c>
      <c r="AV30" s="262"/>
      <c r="AW30" s="528">
        <v>22</v>
      </c>
      <c r="AX30" s="526">
        <v>55.33</v>
      </c>
      <c r="AY30" s="529">
        <v>77.459999999999994</v>
      </c>
      <c r="AZ30" s="262"/>
      <c r="BA30" s="528">
        <v>22</v>
      </c>
      <c r="BB30" s="526">
        <v>56.13</v>
      </c>
      <c r="BC30" s="529">
        <v>78.58</v>
      </c>
      <c r="BD30" s="262"/>
      <c r="BE30" s="528">
        <v>22</v>
      </c>
      <c r="BF30" s="526">
        <v>56.93</v>
      </c>
      <c r="BG30" s="529">
        <v>79.7</v>
      </c>
      <c r="BH30" s="262"/>
      <c r="BI30" s="528">
        <v>22</v>
      </c>
      <c r="BJ30" s="526">
        <v>57.73</v>
      </c>
      <c r="BK30" s="529">
        <v>80.819999999999993</v>
      </c>
      <c r="BL30" s="262"/>
    </row>
    <row r="31" spans="1:64" ht="23.25">
      <c r="A31" s="263">
        <v>23</v>
      </c>
      <c r="B31" s="1437">
        <f t="shared" si="0"/>
        <v>51.91</v>
      </c>
      <c r="C31" s="1438">
        <f t="shared" si="1"/>
        <v>72.680000000000007</v>
      </c>
      <c r="D31" s="262"/>
      <c r="E31" s="1413">
        <v>23</v>
      </c>
      <c r="F31" s="1411">
        <v>48.57</v>
      </c>
      <c r="G31" s="1414">
        <v>67.989999999999995</v>
      </c>
      <c r="H31" s="1401"/>
      <c r="I31" s="1413">
        <v>23</v>
      </c>
      <c r="J31" s="1411">
        <v>49.4</v>
      </c>
      <c r="K31" s="1414">
        <v>69.16</v>
      </c>
      <c r="L31" s="262"/>
      <c r="M31" s="528">
        <v>23</v>
      </c>
      <c r="N31" s="526">
        <v>50.24</v>
      </c>
      <c r="O31" s="529">
        <v>70.34</v>
      </c>
      <c r="P31" s="262"/>
      <c r="Q31" s="528">
        <v>23</v>
      </c>
      <c r="R31" s="526">
        <v>51.08</v>
      </c>
      <c r="S31" s="529">
        <v>71.510000000000005</v>
      </c>
      <c r="T31" s="262"/>
      <c r="U31" s="528">
        <v>23</v>
      </c>
      <c r="V31" s="526">
        <v>51.91</v>
      </c>
      <c r="W31" s="529">
        <v>72.680000000000007</v>
      </c>
      <c r="X31" s="262"/>
      <c r="Y31" s="528">
        <v>23</v>
      </c>
      <c r="Z31" s="526">
        <v>52.75</v>
      </c>
      <c r="AA31" s="529">
        <v>73.849999999999994</v>
      </c>
      <c r="AB31" s="262"/>
      <c r="AC31" s="528">
        <v>23</v>
      </c>
      <c r="AD31" s="526">
        <v>53.59</v>
      </c>
      <c r="AE31" s="529">
        <v>75.03</v>
      </c>
      <c r="AF31" s="262"/>
      <c r="AG31" s="528">
        <v>23</v>
      </c>
      <c r="AH31" s="526">
        <v>54.43</v>
      </c>
      <c r="AI31" s="529">
        <v>76.2</v>
      </c>
      <c r="AJ31" s="262"/>
      <c r="AK31" s="528">
        <v>23</v>
      </c>
      <c r="AL31" s="526">
        <v>55.26</v>
      </c>
      <c r="AM31" s="529">
        <v>77.37</v>
      </c>
      <c r="AN31" s="262"/>
      <c r="AO31" s="528">
        <v>23</v>
      </c>
      <c r="AP31" s="526">
        <v>56.1</v>
      </c>
      <c r="AQ31" s="529">
        <v>78.540000000000006</v>
      </c>
      <c r="AR31" s="262"/>
      <c r="AS31" s="528">
        <v>23</v>
      </c>
      <c r="AT31" s="526">
        <v>56.94</v>
      </c>
      <c r="AU31" s="529">
        <v>79.709999999999994</v>
      </c>
      <c r="AV31" s="262"/>
      <c r="AW31" s="528">
        <v>23</v>
      </c>
      <c r="AX31" s="526">
        <v>57.78</v>
      </c>
      <c r="AY31" s="529">
        <v>80.89</v>
      </c>
      <c r="AZ31" s="262"/>
      <c r="BA31" s="528">
        <v>23</v>
      </c>
      <c r="BB31" s="526">
        <v>58.61</v>
      </c>
      <c r="BC31" s="529">
        <v>82.06</v>
      </c>
      <c r="BD31" s="262"/>
      <c r="BE31" s="528">
        <v>23</v>
      </c>
      <c r="BF31" s="526">
        <v>59.45</v>
      </c>
      <c r="BG31" s="529">
        <v>83.23</v>
      </c>
      <c r="BH31" s="262"/>
      <c r="BI31" s="528">
        <v>23</v>
      </c>
      <c r="BJ31" s="526">
        <v>60.29</v>
      </c>
      <c r="BK31" s="529">
        <v>84.4</v>
      </c>
      <c r="BL31" s="262"/>
    </row>
    <row r="32" spans="1:64" ht="23.25">
      <c r="A32" s="263">
        <v>24</v>
      </c>
      <c r="B32" s="1437">
        <f t="shared" si="0"/>
        <v>54.12</v>
      </c>
      <c r="C32" s="1438">
        <f t="shared" si="1"/>
        <v>75.77</v>
      </c>
      <c r="D32" s="262"/>
      <c r="E32" s="1413">
        <v>24</v>
      </c>
      <c r="F32" s="1411">
        <v>50.63</v>
      </c>
      <c r="G32" s="1414">
        <v>70.88</v>
      </c>
      <c r="H32" s="1401"/>
      <c r="I32" s="1413">
        <v>24</v>
      </c>
      <c r="J32" s="1411">
        <v>51.5</v>
      </c>
      <c r="K32" s="1414">
        <v>72.099999999999994</v>
      </c>
      <c r="L32" s="262"/>
      <c r="M32" s="528">
        <v>24</v>
      </c>
      <c r="N32" s="526">
        <v>52.38</v>
      </c>
      <c r="O32" s="529">
        <v>73.33</v>
      </c>
      <c r="P32" s="262"/>
      <c r="Q32" s="528">
        <v>24</v>
      </c>
      <c r="R32" s="526">
        <v>53.25</v>
      </c>
      <c r="S32" s="529">
        <v>74.55</v>
      </c>
      <c r="T32" s="262"/>
      <c r="U32" s="528">
        <v>24</v>
      </c>
      <c r="V32" s="526">
        <v>54.12</v>
      </c>
      <c r="W32" s="529">
        <v>75.77</v>
      </c>
      <c r="X32" s="262"/>
      <c r="Y32" s="528">
        <v>24</v>
      </c>
      <c r="Z32" s="526">
        <v>55</v>
      </c>
      <c r="AA32" s="529">
        <v>76.989999999999995</v>
      </c>
      <c r="AB32" s="262"/>
      <c r="AC32" s="528">
        <v>24</v>
      </c>
      <c r="AD32" s="526">
        <v>55.87</v>
      </c>
      <c r="AE32" s="529">
        <v>78.22</v>
      </c>
      <c r="AF32" s="262"/>
      <c r="AG32" s="528">
        <v>24</v>
      </c>
      <c r="AH32" s="526">
        <v>56.74</v>
      </c>
      <c r="AI32" s="529">
        <v>79.44</v>
      </c>
      <c r="AJ32" s="262"/>
      <c r="AK32" s="528">
        <v>24</v>
      </c>
      <c r="AL32" s="526">
        <v>57.62</v>
      </c>
      <c r="AM32" s="529">
        <v>80.66</v>
      </c>
      <c r="AN32" s="262"/>
      <c r="AO32" s="528">
        <v>24</v>
      </c>
      <c r="AP32" s="526">
        <v>58.49</v>
      </c>
      <c r="AQ32" s="529">
        <v>84.89</v>
      </c>
      <c r="AR32" s="262"/>
      <c r="AS32" s="528">
        <v>24</v>
      </c>
      <c r="AT32" s="526">
        <v>59.36</v>
      </c>
      <c r="AU32" s="529">
        <v>83.11</v>
      </c>
      <c r="AV32" s="262"/>
      <c r="AW32" s="528">
        <v>24</v>
      </c>
      <c r="AX32" s="526">
        <v>60.24</v>
      </c>
      <c r="AY32" s="529">
        <v>84.33</v>
      </c>
      <c r="AZ32" s="262"/>
      <c r="BA32" s="528">
        <v>24</v>
      </c>
      <c r="BB32" s="526">
        <v>61.11</v>
      </c>
      <c r="BC32" s="529">
        <v>85.56</v>
      </c>
      <c r="BD32" s="262"/>
      <c r="BE32" s="528">
        <v>24</v>
      </c>
      <c r="BF32" s="526">
        <v>61.52</v>
      </c>
      <c r="BG32" s="529">
        <v>90.33</v>
      </c>
      <c r="BH32" s="262"/>
      <c r="BI32" s="528">
        <v>24</v>
      </c>
      <c r="BJ32" s="526">
        <v>62.86</v>
      </c>
      <c r="BK32" s="529">
        <v>88</v>
      </c>
      <c r="BL32" s="262"/>
    </row>
    <row r="33" spans="1:64" ht="23.25">
      <c r="A33" s="263">
        <v>25</v>
      </c>
      <c r="B33" s="1437">
        <f t="shared" si="0"/>
        <v>56.33</v>
      </c>
      <c r="C33" s="1438">
        <f t="shared" si="1"/>
        <v>78.86</v>
      </c>
      <c r="D33" s="262"/>
      <c r="E33" s="1413">
        <v>25</v>
      </c>
      <c r="F33" s="1411">
        <v>52.69</v>
      </c>
      <c r="G33" s="1414">
        <v>73.760000000000005</v>
      </c>
      <c r="H33" s="1401"/>
      <c r="I33" s="1413">
        <v>25</v>
      </c>
      <c r="J33" s="1411">
        <v>53.6</v>
      </c>
      <c r="K33" s="1414">
        <v>75.040000000000006</v>
      </c>
      <c r="L33" s="262"/>
      <c r="M33" s="528">
        <v>25</v>
      </c>
      <c r="N33" s="526">
        <v>54.51</v>
      </c>
      <c r="O33" s="529">
        <v>76.31</v>
      </c>
      <c r="P33" s="262"/>
      <c r="Q33" s="528">
        <v>25</v>
      </c>
      <c r="R33" s="526">
        <v>55.42</v>
      </c>
      <c r="S33" s="529">
        <v>77.59</v>
      </c>
      <c r="T33" s="262"/>
      <c r="U33" s="528">
        <v>25</v>
      </c>
      <c r="V33" s="526">
        <v>56.33</v>
      </c>
      <c r="W33" s="529">
        <v>78.86</v>
      </c>
      <c r="X33" s="262"/>
      <c r="Y33" s="528">
        <v>25</v>
      </c>
      <c r="Z33" s="526">
        <v>57.24</v>
      </c>
      <c r="AA33" s="529">
        <v>80.13</v>
      </c>
      <c r="AB33" s="262"/>
      <c r="AC33" s="528">
        <v>25</v>
      </c>
      <c r="AD33" s="526">
        <v>58.15</v>
      </c>
      <c r="AE33" s="529">
        <v>81.41</v>
      </c>
      <c r="AF33" s="262"/>
      <c r="AG33" s="528">
        <v>25</v>
      </c>
      <c r="AH33" s="526">
        <v>59.06</v>
      </c>
      <c r="AI33" s="529">
        <v>82.68</v>
      </c>
      <c r="AJ33" s="262"/>
      <c r="AK33" s="528">
        <v>25</v>
      </c>
      <c r="AL33" s="526">
        <v>59.97</v>
      </c>
      <c r="AM33" s="529">
        <v>83.96</v>
      </c>
      <c r="AN33" s="262"/>
      <c r="AO33" s="528">
        <v>25</v>
      </c>
      <c r="AP33" s="526">
        <v>60.88</v>
      </c>
      <c r="AQ33" s="529">
        <v>85.23</v>
      </c>
      <c r="AR33" s="262"/>
      <c r="AS33" s="528">
        <v>25</v>
      </c>
      <c r="AT33" s="526">
        <v>61.79</v>
      </c>
      <c r="AU33" s="529">
        <v>86.5</v>
      </c>
      <c r="AV33" s="262"/>
      <c r="AW33" s="528">
        <v>25</v>
      </c>
      <c r="AX33" s="526">
        <v>62.7</v>
      </c>
      <c r="AY33" s="529">
        <v>87.78</v>
      </c>
      <c r="AZ33" s="262"/>
      <c r="BA33" s="528">
        <v>25</v>
      </c>
      <c r="BB33" s="526">
        <v>63.61</v>
      </c>
      <c r="BC33" s="529">
        <v>89.05</v>
      </c>
      <c r="BD33" s="262"/>
      <c r="BE33" s="528">
        <v>25</v>
      </c>
      <c r="BF33" s="526">
        <v>64.52</v>
      </c>
      <c r="BG33" s="529">
        <v>90.33</v>
      </c>
      <c r="BH33" s="262"/>
      <c r="BI33" s="528">
        <v>25</v>
      </c>
      <c r="BJ33" s="526">
        <v>65.430000000000007</v>
      </c>
      <c r="BK33" s="529">
        <v>91.6</v>
      </c>
      <c r="BL33" s="262"/>
    </row>
    <row r="34" spans="1:64" ht="23.25">
      <c r="A34" s="263">
        <v>26</v>
      </c>
      <c r="B34" s="1437">
        <f t="shared" si="0"/>
        <v>58.53</v>
      </c>
      <c r="C34" s="1438">
        <f t="shared" si="1"/>
        <v>81.94</v>
      </c>
      <c r="D34" s="262"/>
      <c r="E34" s="1413">
        <v>26</v>
      </c>
      <c r="F34" s="1411">
        <v>54.74</v>
      </c>
      <c r="G34" s="1414">
        <v>76.64</v>
      </c>
      <c r="H34" s="1401"/>
      <c r="I34" s="1413">
        <v>26</v>
      </c>
      <c r="J34" s="1411">
        <v>55.69</v>
      </c>
      <c r="K34" s="1414">
        <v>77.97</v>
      </c>
      <c r="L34" s="262"/>
      <c r="M34" s="528">
        <v>26</v>
      </c>
      <c r="N34" s="526">
        <v>56.64</v>
      </c>
      <c r="O34" s="529">
        <v>79.290000000000006</v>
      </c>
      <c r="P34" s="262"/>
      <c r="Q34" s="528">
        <v>26</v>
      </c>
      <c r="R34" s="526">
        <v>57.58</v>
      </c>
      <c r="S34" s="529">
        <v>80.62</v>
      </c>
      <c r="T34" s="262"/>
      <c r="U34" s="528">
        <v>26</v>
      </c>
      <c r="V34" s="526">
        <v>58.53</v>
      </c>
      <c r="W34" s="529">
        <v>81.94</v>
      </c>
      <c r="X34" s="262"/>
      <c r="Y34" s="528">
        <v>26</v>
      </c>
      <c r="Z34" s="526">
        <v>59.48</v>
      </c>
      <c r="AA34" s="529">
        <v>83.27</v>
      </c>
      <c r="AB34" s="262"/>
      <c r="AC34" s="528">
        <v>26</v>
      </c>
      <c r="AD34" s="526">
        <v>60.42</v>
      </c>
      <c r="AE34" s="529">
        <v>84.59</v>
      </c>
      <c r="AF34" s="262"/>
      <c r="AG34" s="528">
        <v>26</v>
      </c>
      <c r="AH34" s="526">
        <v>61.37</v>
      </c>
      <c r="AI34" s="529">
        <v>85.92</v>
      </c>
      <c r="AJ34" s="262"/>
      <c r="AK34" s="528">
        <v>26</v>
      </c>
      <c r="AL34" s="526">
        <v>62.31</v>
      </c>
      <c r="AM34" s="529">
        <v>87.24</v>
      </c>
      <c r="AN34" s="262"/>
      <c r="AO34" s="528">
        <v>26</v>
      </c>
      <c r="AP34" s="526">
        <v>63.26</v>
      </c>
      <c r="AQ34" s="529">
        <v>88.57</v>
      </c>
      <c r="AR34" s="262"/>
      <c r="AS34" s="528">
        <v>26</v>
      </c>
      <c r="AT34" s="526">
        <v>64.209999999999994</v>
      </c>
      <c r="AU34" s="529">
        <v>89.89</v>
      </c>
      <c r="AV34" s="262"/>
      <c r="AW34" s="528">
        <v>26</v>
      </c>
      <c r="AX34" s="526">
        <v>65.150000000000006</v>
      </c>
      <c r="AY34" s="529">
        <v>91.22</v>
      </c>
      <c r="AZ34" s="262"/>
      <c r="BA34" s="528">
        <v>26</v>
      </c>
      <c r="BB34" s="526">
        <v>66.099999999999994</v>
      </c>
      <c r="BC34" s="529">
        <v>92.54</v>
      </c>
      <c r="BD34" s="262"/>
      <c r="BE34" s="528">
        <v>26</v>
      </c>
      <c r="BF34" s="526">
        <v>67.05</v>
      </c>
      <c r="BG34" s="529">
        <v>93.87</v>
      </c>
      <c r="BH34" s="262"/>
      <c r="BI34" s="528">
        <v>26</v>
      </c>
      <c r="BJ34" s="526">
        <v>67.989999999999995</v>
      </c>
      <c r="BK34" s="529">
        <v>95.19</v>
      </c>
      <c r="BL34" s="262"/>
    </row>
    <row r="35" spans="1:64" ht="23.25">
      <c r="A35" s="263">
        <v>27</v>
      </c>
      <c r="B35" s="1437">
        <f t="shared" si="0"/>
        <v>60.73</v>
      </c>
      <c r="C35" s="1438">
        <f t="shared" si="1"/>
        <v>85.03</v>
      </c>
      <c r="D35" s="262"/>
      <c r="E35" s="1413">
        <v>27</v>
      </c>
      <c r="F35" s="1411">
        <v>56.8</v>
      </c>
      <c r="G35" s="1414">
        <v>79.52</v>
      </c>
      <c r="H35" s="1401"/>
      <c r="I35" s="1413">
        <v>27</v>
      </c>
      <c r="J35" s="1411">
        <v>57.78</v>
      </c>
      <c r="K35" s="1414">
        <v>80.900000000000006</v>
      </c>
      <c r="L35" s="262"/>
      <c r="M35" s="528">
        <v>27</v>
      </c>
      <c r="N35" s="526">
        <v>58.77</v>
      </c>
      <c r="O35" s="529">
        <v>82.27</v>
      </c>
      <c r="P35" s="262"/>
      <c r="Q35" s="528">
        <v>27</v>
      </c>
      <c r="R35" s="526">
        <v>59.75</v>
      </c>
      <c r="S35" s="529">
        <v>83.65</v>
      </c>
      <c r="T35" s="262"/>
      <c r="U35" s="528">
        <v>27</v>
      </c>
      <c r="V35" s="526">
        <v>60.73</v>
      </c>
      <c r="W35" s="529">
        <v>85.03</v>
      </c>
      <c r="X35" s="262"/>
      <c r="Y35" s="528">
        <v>27</v>
      </c>
      <c r="Z35" s="526">
        <v>61.72</v>
      </c>
      <c r="AA35" s="529">
        <v>86.4</v>
      </c>
      <c r="AB35" s="262"/>
      <c r="AC35" s="528">
        <v>27</v>
      </c>
      <c r="AD35" s="526">
        <v>62.7</v>
      </c>
      <c r="AE35" s="529">
        <v>87.78</v>
      </c>
      <c r="AF35" s="262"/>
      <c r="AG35" s="528">
        <v>27</v>
      </c>
      <c r="AH35" s="526">
        <v>63.68</v>
      </c>
      <c r="AI35" s="529">
        <v>89.15</v>
      </c>
      <c r="AJ35" s="262"/>
      <c r="AK35" s="528">
        <v>27</v>
      </c>
      <c r="AL35" s="526">
        <v>64.66</v>
      </c>
      <c r="AM35" s="529">
        <v>90.53</v>
      </c>
      <c r="AN35" s="262"/>
      <c r="AO35" s="528">
        <v>27</v>
      </c>
      <c r="AP35" s="526">
        <v>65.650000000000006</v>
      </c>
      <c r="AQ35" s="529">
        <v>91.91</v>
      </c>
      <c r="AR35" s="262"/>
      <c r="AS35" s="528">
        <v>27</v>
      </c>
      <c r="AT35" s="526">
        <v>66.63</v>
      </c>
      <c r="AU35" s="529">
        <v>93.28</v>
      </c>
      <c r="AV35" s="262"/>
      <c r="AW35" s="528">
        <v>27</v>
      </c>
      <c r="AX35" s="526">
        <v>67.61</v>
      </c>
      <c r="AY35" s="529">
        <v>94.66</v>
      </c>
      <c r="AZ35" s="262"/>
      <c r="BA35" s="528">
        <v>27</v>
      </c>
      <c r="BB35" s="526">
        <v>68.599999999999994</v>
      </c>
      <c r="BC35" s="529">
        <v>96.03</v>
      </c>
      <c r="BD35" s="262"/>
      <c r="BE35" s="528">
        <v>27</v>
      </c>
      <c r="BF35" s="526">
        <v>69.58</v>
      </c>
      <c r="BG35" s="529">
        <v>97.41</v>
      </c>
      <c r="BH35" s="262"/>
      <c r="BI35" s="528">
        <v>27</v>
      </c>
      <c r="BJ35" s="526">
        <v>70.56</v>
      </c>
      <c r="BK35" s="529">
        <v>98.79</v>
      </c>
      <c r="BL35" s="262"/>
    </row>
    <row r="36" spans="1:64" ht="23.25">
      <c r="A36" s="263">
        <v>28</v>
      </c>
      <c r="B36" s="1437">
        <f t="shared" si="0"/>
        <v>62.94</v>
      </c>
      <c r="C36" s="1438">
        <f t="shared" si="1"/>
        <v>88.11</v>
      </c>
      <c r="D36" s="262"/>
      <c r="E36" s="1413">
        <v>28</v>
      </c>
      <c r="F36" s="1411">
        <v>58.86</v>
      </c>
      <c r="G36" s="1414">
        <v>82.41</v>
      </c>
      <c r="H36" s="1401"/>
      <c r="I36" s="1413">
        <v>28</v>
      </c>
      <c r="J36" s="1411">
        <v>59.88</v>
      </c>
      <c r="K36" s="1414">
        <v>83.83</v>
      </c>
      <c r="L36" s="262"/>
      <c r="M36" s="528">
        <v>28</v>
      </c>
      <c r="N36" s="526">
        <v>60.9</v>
      </c>
      <c r="O36" s="529">
        <v>85.26</v>
      </c>
      <c r="P36" s="262"/>
      <c r="Q36" s="528">
        <v>28</v>
      </c>
      <c r="R36" s="526">
        <v>61.92</v>
      </c>
      <c r="S36" s="529">
        <v>86.69</v>
      </c>
      <c r="T36" s="262"/>
      <c r="U36" s="528">
        <v>28</v>
      </c>
      <c r="V36" s="526">
        <v>62.94</v>
      </c>
      <c r="W36" s="529">
        <v>88.11</v>
      </c>
      <c r="X36" s="262"/>
      <c r="Y36" s="528">
        <v>28</v>
      </c>
      <c r="Z36" s="526">
        <v>63.96</v>
      </c>
      <c r="AA36" s="529">
        <v>89.54</v>
      </c>
      <c r="AB36" s="262"/>
      <c r="AC36" s="528">
        <v>28</v>
      </c>
      <c r="AD36" s="526">
        <v>64.98</v>
      </c>
      <c r="AE36" s="529">
        <v>90.97</v>
      </c>
      <c r="AF36" s="262"/>
      <c r="AG36" s="528">
        <v>28</v>
      </c>
      <c r="AH36" s="526">
        <v>66</v>
      </c>
      <c r="AI36" s="529">
        <v>92.39</v>
      </c>
      <c r="AJ36" s="262"/>
      <c r="AK36" s="528">
        <v>28</v>
      </c>
      <c r="AL36" s="526">
        <v>67.02</v>
      </c>
      <c r="AM36" s="529">
        <v>93.82</v>
      </c>
      <c r="AN36" s="262"/>
      <c r="AO36" s="528">
        <v>28</v>
      </c>
      <c r="AP36" s="526">
        <v>68.03</v>
      </c>
      <c r="AQ36" s="529">
        <v>95.25</v>
      </c>
      <c r="AR36" s="262"/>
      <c r="AS36" s="528">
        <v>28</v>
      </c>
      <c r="AT36" s="526">
        <v>69.05</v>
      </c>
      <c r="AU36" s="529">
        <v>96.68</v>
      </c>
      <c r="AV36" s="262"/>
      <c r="AW36" s="528">
        <v>28</v>
      </c>
      <c r="AX36" s="526">
        <v>70.069999999999993</v>
      </c>
      <c r="AY36" s="529">
        <v>98.1</v>
      </c>
      <c r="AZ36" s="262"/>
      <c r="BA36" s="528">
        <v>28</v>
      </c>
      <c r="BB36" s="526">
        <v>71.09</v>
      </c>
      <c r="BC36" s="529">
        <v>99.53</v>
      </c>
      <c r="BD36" s="262"/>
      <c r="BE36" s="528">
        <v>28</v>
      </c>
      <c r="BF36" s="526">
        <v>72.11</v>
      </c>
      <c r="BG36" s="529">
        <v>100.96</v>
      </c>
      <c r="BH36" s="262"/>
      <c r="BI36" s="528">
        <v>28</v>
      </c>
      <c r="BJ36" s="526">
        <v>73.13</v>
      </c>
      <c r="BK36" s="529">
        <v>102.38</v>
      </c>
      <c r="BL36" s="262"/>
    </row>
    <row r="37" spans="1:64" ht="23.25">
      <c r="A37" s="263">
        <v>29</v>
      </c>
      <c r="B37" s="1437">
        <f t="shared" si="0"/>
        <v>65.13</v>
      </c>
      <c r="C37" s="1438">
        <f t="shared" si="1"/>
        <v>91.18</v>
      </c>
      <c r="D37" s="262"/>
      <c r="E37" s="1413">
        <v>29</v>
      </c>
      <c r="F37" s="1411">
        <v>60.9</v>
      </c>
      <c r="G37" s="1414">
        <v>85.27</v>
      </c>
      <c r="H37" s="1401"/>
      <c r="I37" s="1413">
        <v>29</v>
      </c>
      <c r="J37" s="1411">
        <v>61.96</v>
      </c>
      <c r="K37" s="1414">
        <v>86.74</v>
      </c>
      <c r="L37" s="262"/>
      <c r="M37" s="528">
        <v>29</v>
      </c>
      <c r="N37" s="526">
        <v>63.02</v>
      </c>
      <c r="O37" s="529">
        <v>88.22</v>
      </c>
      <c r="P37" s="262"/>
      <c r="Q37" s="528">
        <v>29</v>
      </c>
      <c r="R37" s="526">
        <v>64.069999999999993</v>
      </c>
      <c r="S37" s="529">
        <v>89.7</v>
      </c>
      <c r="T37" s="262"/>
      <c r="U37" s="528">
        <v>29</v>
      </c>
      <c r="V37" s="526">
        <v>65.13</v>
      </c>
      <c r="W37" s="529">
        <v>91.18</v>
      </c>
      <c r="X37" s="262"/>
      <c r="Y37" s="528">
        <v>29</v>
      </c>
      <c r="Z37" s="526">
        <v>66.180000000000007</v>
      </c>
      <c r="AA37" s="529">
        <v>92.65</v>
      </c>
      <c r="AB37" s="262"/>
      <c r="AC37" s="528">
        <v>29</v>
      </c>
      <c r="AD37" s="526">
        <v>67.239999999999995</v>
      </c>
      <c r="AE37" s="529">
        <v>94.13</v>
      </c>
      <c r="AF37" s="262"/>
      <c r="AG37" s="528">
        <v>29</v>
      </c>
      <c r="AH37" s="526">
        <v>68.290000000000006</v>
      </c>
      <c r="AI37" s="529">
        <v>95.61</v>
      </c>
      <c r="AJ37" s="262"/>
      <c r="AK37" s="528">
        <v>29</v>
      </c>
      <c r="AL37" s="526">
        <v>69.349999999999994</v>
      </c>
      <c r="AM37" s="529">
        <v>97.09</v>
      </c>
      <c r="AN37" s="262"/>
      <c r="AO37" s="528">
        <v>29</v>
      </c>
      <c r="AP37" s="526">
        <v>70.400000000000006</v>
      </c>
      <c r="AQ37" s="529">
        <v>98.57</v>
      </c>
      <c r="AR37" s="262"/>
      <c r="AS37" s="528">
        <v>29</v>
      </c>
      <c r="AT37" s="526">
        <v>71.459999999999994</v>
      </c>
      <c r="AU37" s="529">
        <v>100.04</v>
      </c>
      <c r="AV37" s="262"/>
      <c r="AW37" s="528">
        <v>29</v>
      </c>
      <c r="AX37" s="526">
        <v>72.52</v>
      </c>
      <c r="AY37" s="529">
        <v>101.52</v>
      </c>
      <c r="AZ37" s="262"/>
      <c r="BA37" s="528">
        <v>29</v>
      </c>
      <c r="BB37" s="526">
        <v>73.569999999999993</v>
      </c>
      <c r="BC37" s="529">
        <v>103</v>
      </c>
      <c r="BD37" s="262"/>
      <c r="BE37" s="528">
        <v>29</v>
      </c>
      <c r="BF37" s="526">
        <v>74.63</v>
      </c>
      <c r="BG37" s="529">
        <v>104.48</v>
      </c>
      <c r="BH37" s="262"/>
      <c r="BI37" s="528">
        <v>29</v>
      </c>
      <c r="BJ37" s="526">
        <v>75.680000000000007</v>
      </c>
      <c r="BK37" s="529">
        <v>105.96</v>
      </c>
      <c r="BL37" s="262"/>
    </row>
    <row r="38" spans="1:64" ht="23.25">
      <c r="A38" s="263">
        <v>30</v>
      </c>
      <c r="B38" s="1437">
        <f t="shared" si="0"/>
        <v>67.34</v>
      </c>
      <c r="C38" s="1438">
        <f t="shared" si="1"/>
        <v>94.28</v>
      </c>
      <c r="D38" s="262"/>
      <c r="E38" s="1413">
        <v>30</v>
      </c>
      <c r="F38" s="1411">
        <v>62.97</v>
      </c>
      <c r="G38" s="1414">
        <v>88.16</v>
      </c>
      <c r="H38" s="1401"/>
      <c r="I38" s="1413">
        <v>30</v>
      </c>
      <c r="J38" s="1411">
        <v>64.069999999999993</v>
      </c>
      <c r="K38" s="1414">
        <v>89.69</v>
      </c>
      <c r="L38" s="262"/>
      <c r="M38" s="528">
        <v>30</v>
      </c>
      <c r="N38" s="526">
        <v>65.16</v>
      </c>
      <c r="O38" s="529">
        <v>91.22</v>
      </c>
      <c r="P38" s="262"/>
      <c r="Q38" s="528">
        <v>30</v>
      </c>
      <c r="R38" s="526">
        <v>66.25</v>
      </c>
      <c r="S38" s="529">
        <v>92.75</v>
      </c>
      <c r="T38" s="262"/>
      <c r="U38" s="528">
        <v>30</v>
      </c>
      <c r="V38" s="526">
        <v>67.34</v>
      </c>
      <c r="W38" s="529">
        <v>94.28</v>
      </c>
      <c r="X38" s="262"/>
      <c r="Y38" s="528">
        <v>30</v>
      </c>
      <c r="Z38" s="526">
        <v>68.430000000000007</v>
      </c>
      <c r="AA38" s="529">
        <v>95.81</v>
      </c>
      <c r="AB38" s="262"/>
      <c r="AC38" s="528">
        <v>30</v>
      </c>
      <c r="AD38" s="526">
        <v>69.53</v>
      </c>
      <c r="AE38" s="529">
        <v>97.34</v>
      </c>
      <c r="AF38" s="262"/>
      <c r="AG38" s="528">
        <v>30</v>
      </c>
      <c r="AH38" s="526">
        <v>70.62</v>
      </c>
      <c r="AI38" s="529">
        <v>98.86</v>
      </c>
      <c r="AJ38" s="262"/>
      <c r="AK38" s="528">
        <v>30</v>
      </c>
      <c r="AL38" s="526">
        <v>71.709999999999994</v>
      </c>
      <c r="AM38" s="529">
        <v>100.39</v>
      </c>
      <c r="AN38" s="262"/>
      <c r="AO38" s="528">
        <v>30</v>
      </c>
      <c r="AP38" s="526">
        <v>72.8</v>
      </c>
      <c r="AQ38" s="529">
        <v>101.92</v>
      </c>
      <c r="AR38" s="262"/>
      <c r="AS38" s="528">
        <v>30</v>
      </c>
      <c r="AT38" s="526">
        <v>73.89</v>
      </c>
      <c r="AU38" s="529">
        <v>103.45</v>
      </c>
      <c r="AV38" s="262"/>
      <c r="AW38" s="528">
        <v>30</v>
      </c>
      <c r="AX38" s="526">
        <v>74.989999999999995</v>
      </c>
      <c r="AY38" s="529">
        <v>104.98</v>
      </c>
      <c r="AZ38" s="262"/>
      <c r="BA38" s="528">
        <v>30</v>
      </c>
      <c r="BB38" s="526">
        <v>76.08</v>
      </c>
      <c r="BC38" s="529">
        <v>106.51</v>
      </c>
      <c r="BD38" s="262"/>
      <c r="BE38" s="528">
        <v>30</v>
      </c>
      <c r="BF38" s="526">
        <v>77.17</v>
      </c>
      <c r="BG38" s="529">
        <v>108.04</v>
      </c>
      <c r="BH38" s="262"/>
      <c r="BI38" s="528">
        <v>30</v>
      </c>
      <c r="BJ38" s="526">
        <v>78.260000000000005</v>
      </c>
      <c r="BK38" s="529">
        <v>109.57</v>
      </c>
      <c r="BL38" s="262"/>
    </row>
    <row r="39" spans="1:64" ht="23.25">
      <c r="A39" s="263">
        <v>31</v>
      </c>
      <c r="B39" s="1437">
        <f t="shared" si="0"/>
        <v>69.53</v>
      </c>
      <c r="C39" s="1438">
        <f t="shared" si="1"/>
        <v>97.34</v>
      </c>
      <c r="D39" s="262"/>
      <c r="E39" s="1413">
        <v>31</v>
      </c>
      <c r="F39" s="1411">
        <v>65.02</v>
      </c>
      <c r="G39" s="1414">
        <v>91.02</v>
      </c>
      <c r="H39" s="1401"/>
      <c r="I39" s="1413">
        <v>31</v>
      </c>
      <c r="J39" s="1411">
        <v>66.150000000000006</v>
      </c>
      <c r="K39" s="1414">
        <v>92.6</v>
      </c>
      <c r="L39" s="262"/>
      <c r="M39" s="528">
        <v>31</v>
      </c>
      <c r="N39" s="526">
        <v>67.27</v>
      </c>
      <c r="O39" s="529">
        <v>94.18</v>
      </c>
      <c r="P39" s="262"/>
      <c r="Q39" s="528">
        <v>31</v>
      </c>
      <c r="R39" s="526">
        <v>68.400000000000006</v>
      </c>
      <c r="S39" s="529">
        <v>95.76</v>
      </c>
      <c r="T39" s="262"/>
      <c r="U39" s="528">
        <v>31</v>
      </c>
      <c r="V39" s="526">
        <v>69.53</v>
      </c>
      <c r="W39" s="529">
        <v>97.34</v>
      </c>
      <c r="X39" s="262"/>
      <c r="Y39" s="528">
        <v>31</v>
      </c>
      <c r="Z39" s="526">
        <v>70.66</v>
      </c>
      <c r="AA39" s="529">
        <v>98.92</v>
      </c>
      <c r="AB39" s="262"/>
      <c r="AC39" s="528">
        <v>31</v>
      </c>
      <c r="AD39" s="526">
        <v>71.790000000000006</v>
      </c>
      <c r="AE39" s="529">
        <v>100.5</v>
      </c>
      <c r="AF39" s="262"/>
      <c r="AG39" s="528">
        <v>31</v>
      </c>
      <c r="AH39" s="526">
        <v>72.92</v>
      </c>
      <c r="AI39" s="529">
        <v>102.08</v>
      </c>
      <c r="AJ39" s="262"/>
      <c r="AK39" s="528">
        <v>31</v>
      </c>
      <c r="AL39" s="526">
        <v>74.05</v>
      </c>
      <c r="AM39" s="529">
        <v>103.66</v>
      </c>
      <c r="AN39" s="262"/>
      <c r="AO39" s="528">
        <v>31</v>
      </c>
      <c r="AP39" s="526">
        <v>75.17</v>
      </c>
      <c r="AQ39" s="529">
        <v>105.24</v>
      </c>
      <c r="AR39" s="262"/>
      <c r="AS39" s="528">
        <v>31</v>
      </c>
      <c r="AT39" s="526">
        <v>76.3</v>
      </c>
      <c r="AU39" s="529">
        <v>106.82</v>
      </c>
      <c r="AV39" s="262"/>
      <c r="AW39" s="528">
        <v>31</v>
      </c>
      <c r="AX39" s="526">
        <v>77.430000000000007</v>
      </c>
      <c r="AY39" s="529">
        <v>108.4</v>
      </c>
      <c r="AZ39" s="262"/>
      <c r="BA39" s="528">
        <v>31</v>
      </c>
      <c r="BB39" s="526">
        <v>78.56</v>
      </c>
      <c r="BC39" s="529">
        <v>109.98</v>
      </c>
      <c r="BD39" s="262"/>
      <c r="BE39" s="528">
        <v>31</v>
      </c>
      <c r="BF39" s="526">
        <v>79.69</v>
      </c>
      <c r="BG39" s="529">
        <v>111.56</v>
      </c>
      <c r="BH39" s="262"/>
      <c r="BI39" s="528">
        <v>31</v>
      </c>
      <c r="BJ39" s="526">
        <v>80.819999999999993</v>
      </c>
      <c r="BK39" s="529">
        <v>113.14</v>
      </c>
      <c r="BL39" s="262"/>
    </row>
    <row r="40" spans="1:64" ht="23.25">
      <c r="A40" s="263">
        <v>32</v>
      </c>
      <c r="B40" s="1437">
        <f t="shared" si="0"/>
        <v>71.75</v>
      </c>
      <c r="C40" s="1438">
        <f t="shared" si="1"/>
        <v>100.45</v>
      </c>
      <c r="D40" s="262"/>
      <c r="E40" s="1413">
        <v>32</v>
      </c>
      <c r="F40" s="1411">
        <v>67.09</v>
      </c>
      <c r="G40" s="1414">
        <v>93.92</v>
      </c>
      <c r="H40" s="1401"/>
      <c r="I40" s="1413">
        <v>32</v>
      </c>
      <c r="J40" s="1411">
        <v>68.25</v>
      </c>
      <c r="K40" s="1414">
        <v>95.55</v>
      </c>
      <c r="L40" s="262"/>
      <c r="M40" s="528">
        <v>32</v>
      </c>
      <c r="N40" s="526">
        <v>69.42</v>
      </c>
      <c r="O40" s="529">
        <v>92.19</v>
      </c>
      <c r="P40" s="262"/>
      <c r="Q40" s="528">
        <v>32</v>
      </c>
      <c r="R40" s="526">
        <v>70.58</v>
      </c>
      <c r="S40" s="529">
        <v>98.82</v>
      </c>
      <c r="T40" s="262"/>
      <c r="U40" s="528">
        <v>32</v>
      </c>
      <c r="V40" s="526">
        <v>71.75</v>
      </c>
      <c r="W40" s="529">
        <v>100.45</v>
      </c>
      <c r="X40" s="262"/>
      <c r="Y40" s="528">
        <v>32</v>
      </c>
      <c r="Z40" s="526">
        <v>72.91</v>
      </c>
      <c r="AA40" s="529">
        <v>102.08</v>
      </c>
      <c r="AB40" s="262"/>
      <c r="AC40" s="528">
        <v>32</v>
      </c>
      <c r="AD40" s="526">
        <v>74.08</v>
      </c>
      <c r="AE40" s="529">
        <v>103.71</v>
      </c>
      <c r="AF40" s="262"/>
      <c r="AG40" s="528">
        <v>32</v>
      </c>
      <c r="AH40" s="526">
        <v>75.239999999999995</v>
      </c>
      <c r="AI40" s="529">
        <v>105.34</v>
      </c>
      <c r="AJ40" s="262"/>
      <c r="AK40" s="528">
        <v>32</v>
      </c>
      <c r="AL40" s="526">
        <v>76.41</v>
      </c>
      <c r="AM40" s="529">
        <v>106.97</v>
      </c>
      <c r="AN40" s="262"/>
      <c r="AO40" s="528">
        <v>32</v>
      </c>
      <c r="AP40" s="526">
        <v>77.569999999999993</v>
      </c>
      <c r="AQ40" s="529">
        <v>108.6</v>
      </c>
      <c r="AR40" s="262"/>
      <c r="AS40" s="528">
        <v>32</v>
      </c>
      <c r="AT40" s="526">
        <v>78.739999999999995</v>
      </c>
      <c r="AU40" s="529">
        <v>110.23</v>
      </c>
      <c r="AV40" s="262"/>
      <c r="AW40" s="528">
        <v>32</v>
      </c>
      <c r="AX40" s="526">
        <v>79.900000000000006</v>
      </c>
      <c r="AY40" s="529">
        <v>111.86</v>
      </c>
      <c r="AZ40" s="262"/>
      <c r="BA40" s="528">
        <v>32</v>
      </c>
      <c r="BB40" s="526">
        <v>81.069999999999993</v>
      </c>
      <c r="BC40" s="529">
        <v>113.49</v>
      </c>
      <c r="BD40" s="262"/>
      <c r="BE40" s="528">
        <v>32</v>
      </c>
      <c r="BF40" s="526">
        <v>82.23</v>
      </c>
      <c r="BG40" s="529">
        <v>115.12</v>
      </c>
      <c r="BH40" s="262"/>
      <c r="BI40" s="528">
        <v>32</v>
      </c>
      <c r="BJ40" s="526">
        <v>83.4</v>
      </c>
      <c r="BK40" s="529">
        <v>116.75</v>
      </c>
      <c r="BL40" s="262"/>
    </row>
    <row r="41" spans="1:64" ht="23.25">
      <c r="A41" s="263">
        <v>33</v>
      </c>
      <c r="B41" s="1437">
        <f t="shared" si="0"/>
        <v>73.95</v>
      </c>
      <c r="C41" s="1438">
        <f t="shared" si="1"/>
        <v>103.53</v>
      </c>
      <c r="D41" s="262"/>
      <c r="E41" s="1413">
        <v>33</v>
      </c>
      <c r="F41" s="1411">
        <v>69.150000000000006</v>
      </c>
      <c r="G41" s="1414">
        <v>96.8</v>
      </c>
      <c r="H41" s="1401"/>
      <c r="I41" s="1413">
        <v>33</v>
      </c>
      <c r="J41" s="1411">
        <v>70.349999999999994</v>
      </c>
      <c r="K41" s="1414">
        <v>98.49</v>
      </c>
      <c r="L41" s="262"/>
      <c r="M41" s="528">
        <v>33</v>
      </c>
      <c r="N41" s="526">
        <v>71.55</v>
      </c>
      <c r="O41" s="529">
        <v>100.17</v>
      </c>
      <c r="P41" s="262"/>
      <c r="Q41" s="528">
        <v>33</v>
      </c>
      <c r="R41" s="526">
        <v>72.75</v>
      </c>
      <c r="S41" s="529">
        <v>101.85</v>
      </c>
      <c r="T41" s="262"/>
      <c r="U41" s="528">
        <v>33</v>
      </c>
      <c r="V41" s="526">
        <v>73.95</v>
      </c>
      <c r="W41" s="529">
        <v>103.53</v>
      </c>
      <c r="X41" s="262"/>
      <c r="Y41" s="528">
        <v>33</v>
      </c>
      <c r="Z41" s="526">
        <v>75.150000000000006</v>
      </c>
      <c r="AA41" s="529">
        <v>105.21</v>
      </c>
      <c r="AB41" s="262"/>
      <c r="AC41" s="528">
        <v>33</v>
      </c>
      <c r="AD41" s="526">
        <v>76.349999999999994</v>
      </c>
      <c r="AE41" s="529">
        <v>106.89</v>
      </c>
      <c r="AF41" s="262"/>
      <c r="AG41" s="528">
        <v>33</v>
      </c>
      <c r="AH41" s="526">
        <v>77.55</v>
      </c>
      <c r="AI41" s="529">
        <v>108.58</v>
      </c>
      <c r="AJ41" s="262"/>
      <c r="AK41" s="528">
        <v>33</v>
      </c>
      <c r="AL41" s="526">
        <v>78.760000000000005</v>
      </c>
      <c r="AM41" s="529">
        <v>110.26</v>
      </c>
      <c r="AN41" s="262"/>
      <c r="AO41" s="528">
        <v>33</v>
      </c>
      <c r="AP41" s="526">
        <v>79.959999999999994</v>
      </c>
      <c r="AQ41" s="529">
        <v>111.94</v>
      </c>
      <c r="AR41" s="262"/>
      <c r="AS41" s="528">
        <v>33</v>
      </c>
      <c r="AT41" s="526">
        <v>81.16</v>
      </c>
      <c r="AU41" s="529">
        <v>113.62</v>
      </c>
      <c r="AV41" s="262"/>
      <c r="AW41" s="528">
        <v>33</v>
      </c>
      <c r="AX41" s="526">
        <v>82.36</v>
      </c>
      <c r="AY41" s="529">
        <v>115.3</v>
      </c>
      <c r="AZ41" s="262"/>
      <c r="BA41" s="528">
        <v>33</v>
      </c>
      <c r="BB41" s="526">
        <v>83.56</v>
      </c>
      <c r="BC41" s="529">
        <v>116.98</v>
      </c>
      <c r="BD41" s="262"/>
      <c r="BE41" s="528">
        <v>33</v>
      </c>
      <c r="BF41" s="526">
        <v>84.76</v>
      </c>
      <c r="BG41" s="529">
        <v>118.67</v>
      </c>
      <c r="BH41" s="262"/>
      <c r="BI41" s="528">
        <v>33</v>
      </c>
      <c r="BJ41" s="526">
        <v>85.96</v>
      </c>
      <c r="BK41" s="529">
        <v>120.35</v>
      </c>
      <c r="BL41" s="262"/>
    </row>
    <row r="42" spans="1:64" ht="23.25">
      <c r="A42" s="263">
        <v>34</v>
      </c>
      <c r="B42" s="1437">
        <f t="shared" si="0"/>
        <v>76.16</v>
      </c>
      <c r="C42" s="1438">
        <f t="shared" si="1"/>
        <v>106.62</v>
      </c>
      <c r="D42" s="262"/>
      <c r="E42" s="1413">
        <v>34</v>
      </c>
      <c r="F42" s="1411">
        <v>71.209999999999994</v>
      </c>
      <c r="G42" s="1414">
        <v>99.69</v>
      </c>
      <c r="H42" s="1401"/>
      <c r="I42" s="1413">
        <v>34</v>
      </c>
      <c r="J42" s="1411">
        <v>72.45</v>
      </c>
      <c r="K42" s="1414">
        <v>101.42</v>
      </c>
      <c r="L42" s="262"/>
      <c r="M42" s="528">
        <v>34</v>
      </c>
      <c r="N42" s="526">
        <v>73.680000000000007</v>
      </c>
      <c r="O42" s="529">
        <v>103.16</v>
      </c>
      <c r="P42" s="262"/>
      <c r="Q42" s="528">
        <v>34</v>
      </c>
      <c r="R42" s="526">
        <v>74.92</v>
      </c>
      <c r="S42" s="529">
        <v>104.89</v>
      </c>
      <c r="T42" s="262"/>
      <c r="U42" s="528">
        <v>34</v>
      </c>
      <c r="V42" s="526">
        <v>76.16</v>
      </c>
      <c r="W42" s="529">
        <v>106.62</v>
      </c>
      <c r="X42" s="262"/>
      <c r="Y42" s="528">
        <v>34</v>
      </c>
      <c r="Z42" s="526">
        <v>77.400000000000006</v>
      </c>
      <c r="AA42" s="529">
        <v>108.35</v>
      </c>
      <c r="AB42" s="262"/>
      <c r="AC42" s="528">
        <v>34</v>
      </c>
      <c r="AD42" s="526">
        <v>78.63</v>
      </c>
      <c r="AE42" s="529">
        <v>110.09</v>
      </c>
      <c r="AF42" s="262"/>
      <c r="AG42" s="528">
        <v>34</v>
      </c>
      <c r="AH42" s="526">
        <v>79.87</v>
      </c>
      <c r="AI42" s="529">
        <v>111.82</v>
      </c>
      <c r="AJ42" s="262"/>
      <c r="AK42" s="528">
        <v>34</v>
      </c>
      <c r="AL42" s="526">
        <v>81.11</v>
      </c>
      <c r="AM42" s="529">
        <v>113.55</v>
      </c>
      <c r="AN42" s="262"/>
      <c r="AO42" s="528">
        <v>34</v>
      </c>
      <c r="AP42" s="526">
        <v>82.35</v>
      </c>
      <c r="AQ42" s="529">
        <v>115.28</v>
      </c>
      <c r="AR42" s="262"/>
      <c r="AS42" s="528">
        <v>34</v>
      </c>
      <c r="AT42" s="526">
        <v>83.58</v>
      </c>
      <c r="AU42" s="529">
        <v>117.02</v>
      </c>
      <c r="AV42" s="262"/>
      <c r="AW42" s="528">
        <v>34</v>
      </c>
      <c r="AX42" s="526">
        <v>84.82</v>
      </c>
      <c r="AY42" s="529">
        <v>118.75</v>
      </c>
      <c r="AZ42" s="262"/>
      <c r="BA42" s="528">
        <v>34</v>
      </c>
      <c r="BB42" s="526">
        <v>86.06</v>
      </c>
      <c r="BC42" s="529">
        <v>120.48</v>
      </c>
      <c r="BD42" s="262"/>
      <c r="BE42" s="528">
        <v>34</v>
      </c>
      <c r="BF42" s="526">
        <v>87.3</v>
      </c>
      <c r="BG42" s="529">
        <v>122.22</v>
      </c>
      <c r="BH42" s="262"/>
      <c r="BI42" s="528">
        <v>34</v>
      </c>
      <c r="BJ42" s="526">
        <v>88.53</v>
      </c>
      <c r="BK42" s="529">
        <v>123.95</v>
      </c>
      <c r="BL42" s="262"/>
    </row>
    <row r="43" spans="1:64" ht="23.25">
      <c r="A43" s="263">
        <v>35</v>
      </c>
      <c r="B43" s="1437">
        <f t="shared" si="0"/>
        <v>78.349999999999994</v>
      </c>
      <c r="C43" s="1438">
        <f t="shared" si="1"/>
        <v>109.68</v>
      </c>
      <c r="D43" s="262"/>
      <c r="E43" s="1413">
        <v>35</v>
      </c>
      <c r="F43" s="1411">
        <v>73.25</v>
      </c>
      <c r="G43" s="1414">
        <v>102.55</v>
      </c>
      <c r="H43" s="1401"/>
      <c r="I43" s="1413">
        <v>35</v>
      </c>
      <c r="J43" s="1411">
        <v>74.52</v>
      </c>
      <c r="K43" s="1414">
        <v>104.33</v>
      </c>
      <c r="L43" s="262"/>
      <c r="M43" s="528">
        <v>35</v>
      </c>
      <c r="N43" s="526">
        <v>75.8</v>
      </c>
      <c r="O43" s="529">
        <v>106.12</v>
      </c>
      <c r="P43" s="262"/>
      <c r="Q43" s="528">
        <v>35</v>
      </c>
      <c r="R43" s="526">
        <v>77.069999999999993</v>
      </c>
      <c r="S43" s="529">
        <v>107.9</v>
      </c>
      <c r="T43" s="262"/>
      <c r="U43" s="528">
        <v>35</v>
      </c>
      <c r="V43" s="526">
        <v>78.349999999999994</v>
      </c>
      <c r="W43" s="529">
        <v>109.68</v>
      </c>
      <c r="X43" s="262"/>
      <c r="Y43" s="528">
        <v>35</v>
      </c>
      <c r="Z43" s="526">
        <v>79.62</v>
      </c>
      <c r="AA43" s="529">
        <v>111.47</v>
      </c>
      <c r="AB43" s="262"/>
      <c r="AC43" s="528">
        <v>35</v>
      </c>
      <c r="AD43" s="526">
        <v>80.89</v>
      </c>
      <c r="AE43" s="529">
        <v>113.25</v>
      </c>
      <c r="AF43" s="262"/>
      <c r="AG43" s="528">
        <v>35</v>
      </c>
      <c r="AH43" s="526">
        <v>82.17</v>
      </c>
      <c r="AI43" s="529">
        <v>115.03</v>
      </c>
      <c r="AJ43" s="262"/>
      <c r="AK43" s="528">
        <v>35</v>
      </c>
      <c r="AL43" s="526">
        <v>83.44</v>
      </c>
      <c r="AM43" s="529">
        <v>116.82</v>
      </c>
      <c r="AN43" s="262"/>
      <c r="AO43" s="528">
        <v>35</v>
      </c>
      <c r="AP43" s="526">
        <v>84.72</v>
      </c>
      <c r="AQ43" s="529">
        <v>118.6</v>
      </c>
      <c r="AR43" s="262"/>
      <c r="AS43" s="528">
        <v>35</v>
      </c>
      <c r="AT43" s="526">
        <v>85.99</v>
      </c>
      <c r="AU43" s="529">
        <v>120.39</v>
      </c>
      <c r="AV43" s="262"/>
      <c r="AW43" s="528">
        <v>35</v>
      </c>
      <c r="AX43" s="526">
        <v>87.26</v>
      </c>
      <c r="AY43" s="529">
        <v>122.17</v>
      </c>
      <c r="AZ43" s="262"/>
      <c r="BA43" s="528">
        <v>35</v>
      </c>
      <c r="BB43" s="526">
        <v>88.54</v>
      </c>
      <c r="BC43" s="529">
        <v>123.95</v>
      </c>
      <c r="BD43" s="262"/>
      <c r="BE43" s="528">
        <v>35</v>
      </c>
      <c r="BF43" s="526">
        <v>89.81</v>
      </c>
      <c r="BG43" s="529">
        <v>125.74</v>
      </c>
      <c r="BH43" s="262"/>
      <c r="BI43" s="528">
        <v>35</v>
      </c>
      <c r="BJ43" s="526">
        <v>91.09</v>
      </c>
      <c r="BK43" s="529">
        <v>127.52</v>
      </c>
      <c r="BL43" s="262"/>
    </row>
    <row r="44" spans="1:64" ht="23.25">
      <c r="A44" s="263">
        <v>36</v>
      </c>
      <c r="B44" s="1437">
        <f t="shared" si="0"/>
        <v>80.56</v>
      </c>
      <c r="C44" s="1438">
        <f t="shared" si="1"/>
        <v>112.78</v>
      </c>
      <c r="D44" s="262"/>
      <c r="E44" s="1413">
        <v>36</v>
      </c>
      <c r="F44" s="1411">
        <v>75.31</v>
      </c>
      <c r="G44" s="1414">
        <v>105.44</v>
      </c>
      <c r="H44" s="1401"/>
      <c r="I44" s="1413">
        <v>36</v>
      </c>
      <c r="J44" s="1411">
        <v>76.62</v>
      </c>
      <c r="K44" s="1414">
        <v>107.27</v>
      </c>
      <c r="L44" s="262"/>
      <c r="M44" s="528">
        <v>36</v>
      </c>
      <c r="N44" s="526">
        <v>77.930000000000007</v>
      </c>
      <c r="O44" s="529">
        <v>109.11</v>
      </c>
      <c r="P44" s="262"/>
      <c r="Q44" s="528">
        <v>36</v>
      </c>
      <c r="R44" s="526">
        <v>79.25</v>
      </c>
      <c r="S44" s="529">
        <v>110.94</v>
      </c>
      <c r="T44" s="262"/>
      <c r="U44" s="528">
        <v>36</v>
      </c>
      <c r="V44" s="526">
        <v>80.56</v>
      </c>
      <c r="W44" s="529">
        <v>112.78</v>
      </c>
      <c r="X44" s="262"/>
      <c r="Y44" s="528">
        <v>36</v>
      </c>
      <c r="Z44" s="526">
        <v>81.87</v>
      </c>
      <c r="AA44" s="529">
        <v>114.61</v>
      </c>
      <c r="AB44" s="262"/>
      <c r="AC44" s="528">
        <v>36</v>
      </c>
      <c r="AD44" s="526">
        <v>83.18</v>
      </c>
      <c r="AE44" s="529">
        <v>116.45</v>
      </c>
      <c r="AF44" s="262"/>
      <c r="AG44" s="528">
        <v>36</v>
      </c>
      <c r="AH44" s="526">
        <v>84.49</v>
      </c>
      <c r="AI44" s="529">
        <v>118.28</v>
      </c>
      <c r="AJ44" s="262"/>
      <c r="AK44" s="528">
        <v>36</v>
      </c>
      <c r="AL44" s="526">
        <v>85.8</v>
      </c>
      <c r="AM44" s="529">
        <v>120.12</v>
      </c>
      <c r="AN44" s="262"/>
      <c r="AO44" s="528">
        <v>36</v>
      </c>
      <c r="AP44" s="526">
        <v>87.11</v>
      </c>
      <c r="AQ44" s="529">
        <v>121.95</v>
      </c>
      <c r="AR44" s="262"/>
      <c r="AS44" s="528">
        <v>36</v>
      </c>
      <c r="AT44" s="526">
        <v>88.42</v>
      </c>
      <c r="AU44" s="529">
        <v>123.79</v>
      </c>
      <c r="AV44" s="262"/>
      <c r="AW44" s="528">
        <v>36</v>
      </c>
      <c r="AX44" s="526">
        <v>89.73</v>
      </c>
      <c r="AY44" s="529">
        <v>125.62</v>
      </c>
      <c r="AZ44" s="262"/>
      <c r="BA44" s="528">
        <v>36</v>
      </c>
      <c r="BB44" s="526">
        <v>91.04</v>
      </c>
      <c r="BC44" s="529">
        <v>127.45</v>
      </c>
      <c r="BD44" s="262"/>
      <c r="BE44" s="528">
        <v>36</v>
      </c>
      <c r="BF44" s="526">
        <v>92.35</v>
      </c>
      <c r="BG44" s="529">
        <v>129.29</v>
      </c>
      <c r="BH44" s="262"/>
      <c r="BI44" s="528">
        <v>36</v>
      </c>
      <c r="BJ44" s="526">
        <v>93.66</v>
      </c>
      <c r="BK44" s="529">
        <v>131.12</v>
      </c>
      <c r="BL44" s="262"/>
    </row>
    <row r="45" spans="1:64" ht="23.25">
      <c r="A45" s="263">
        <v>37</v>
      </c>
      <c r="B45" s="1437">
        <f t="shared" si="0"/>
        <v>82.77</v>
      </c>
      <c r="C45" s="1438">
        <f t="shared" si="1"/>
        <v>115.87</v>
      </c>
      <c r="D45" s="262"/>
      <c r="E45" s="1413">
        <v>37</v>
      </c>
      <c r="F45" s="1411">
        <v>77.38</v>
      </c>
      <c r="G45" s="1414">
        <v>108.33</v>
      </c>
      <c r="H45" s="1401"/>
      <c r="I45" s="1413">
        <v>37</v>
      </c>
      <c r="J45" s="1411">
        <v>78.72</v>
      </c>
      <c r="K45" s="1414">
        <v>110.21</v>
      </c>
      <c r="L45" s="262"/>
      <c r="M45" s="528">
        <v>37</v>
      </c>
      <c r="N45" s="526">
        <v>80.069999999999993</v>
      </c>
      <c r="O45" s="529">
        <v>112.01</v>
      </c>
      <c r="P45" s="262"/>
      <c r="Q45" s="528">
        <v>37</v>
      </c>
      <c r="R45" s="526">
        <v>81.42</v>
      </c>
      <c r="S45" s="529">
        <v>113.99</v>
      </c>
      <c r="T45" s="262"/>
      <c r="U45" s="528">
        <v>37</v>
      </c>
      <c r="V45" s="526">
        <v>82.77</v>
      </c>
      <c r="W45" s="529">
        <v>115.87</v>
      </c>
      <c r="X45" s="262"/>
      <c r="Y45" s="528">
        <v>37</v>
      </c>
      <c r="Z45" s="526">
        <v>84.11</v>
      </c>
      <c r="AA45" s="529">
        <v>117.76</v>
      </c>
      <c r="AB45" s="262"/>
      <c r="AC45" s="528">
        <v>37</v>
      </c>
      <c r="AD45" s="526">
        <v>85.46</v>
      </c>
      <c r="AE45" s="529">
        <v>119.64</v>
      </c>
      <c r="AF45" s="262"/>
      <c r="AG45" s="528">
        <v>37</v>
      </c>
      <c r="AH45" s="526">
        <v>86.81</v>
      </c>
      <c r="AI45" s="529">
        <v>121.53</v>
      </c>
      <c r="AJ45" s="262"/>
      <c r="AK45" s="528">
        <v>37</v>
      </c>
      <c r="AL45" s="526">
        <v>88.15</v>
      </c>
      <c r="AM45" s="529">
        <v>123.41</v>
      </c>
      <c r="AN45" s="262"/>
      <c r="AO45" s="528">
        <v>37</v>
      </c>
      <c r="AP45" s="526">
        <v>89.5</v>
      </c>
      <c r="AQ45" s="529">
        <v>125.3</v>
      </c>
      <c r="AR45" s="262"/>
      <c r="AS45" s="528">
        <v>37</v>
      </c>
      <c r="AT45" s="526">
        <v>90.85</v>
      </c>
      <c r="AU45" s="529">
        <v>127.18</v>
      </c>
      <c r="AV45" s="262"/>
      <c r="AW45" s="528">
        <v>37</v>
      </c>
      <c r="AX45" s="526">
        <v>92.19</v>
      </c>
      <c r="AY45" s="529">
        <v>129.07</v>
      </c>
      <c r="AZ45" s="262"/>
      <c r="BA45" s="528">
        <v>37</v>
      </c>
      <c r="BB45" s="526">
        <v>93.54</v>
      </c>
      <c r="BC45" s="529">
        <v>130.96</v>
      </c>
      <c r="BD45" s="262"/>
      <c r="BE45" s="528">
        <v>37</v>
      </c>
      <c r="BF45" s="526">
        <v>94.89</v>
      </c>
      <c r="BG45" s="529">
        <v>132.84</v>
      </c>
      <c r="BH45" s="262"/>
      <c r="BI45" s="528">
        <v>37</v>
      </c>
      <c r="BJ45" s="526">
        <v>96.23</v>
      </c>
      <c r="BK45" s="529">
        <v>134.72999999999999</v>
      </c>
      <c r="BL45" s="262"/>
    </row>
    <row r="46" spans="1:64" ht="23.25">
      <c r="A46" s="263">
        <v>38</v>
      </c>
      <c r="B46" s="1437">
        <f t="shared" si="0"/>
        <v>84.97</v>
      </c>
      <c r="C46" s="1438">
        <f t="shared" si="1"/>
        <v>118.96</v>
      </c>
      <c r="D46" s="262"/>
      <c r="E46" s="1413">
        <v>38</v>
      </c>
      <c r="F46" s="1411">
        <v>79.44</v>
      </c>
      <c r="G46" s="1414">
        <v>111.21</v>
      </c>
      <c r="H46" s="1401"/>
      <c r="I46" s="1413">
        <v>38</v>
      </c>
      <c r="J46" s="1411">
        <v>80.819999999999993</v>
      </c>
      <c r="K46" s="1414">
        <v>113.15</v>
      </c>
      <c r="L46" s="262"/>
      <c r="M46" s="528">
        <v>38</v>
      </c>
      <c r="N46" s="526">
        <v>82.21</v>
      </c>
      <c r="O46" s="529">
        <v>115.09</v>
      </c>
      <c r="P46" s="262"/>
      <c r="Q46" s="528">
        <v>38</v>
      </c>
      <c r="R46" s="526">
        <v>83.59</v>
      </c>
      <c r="S46" s="529">
        <v>117.02</v>
      </c>
      <c r="T46" s="262"/>
      <c r="U46" s="528">
        <v>38</v>
      </c>
      <c r="V46" s="526">
        <v>84.97</v>
      </c>
      <c r="W46" s="529">
        <v>118.96</v>
      </c>
      <c r="X46" s="262"/>
      <c r="Y46" s="528">
        <v>38</v>
      </c>
      <c r="Z46" s="526">
        <v>86.35</v>
      </c>
      <c r="AA46" s="529">
        <v>120.9</v>
      </c>
      <c r="AB46" s="262"/>
      <c r="AC46" s="528">
        <v>38</v>
      </c>
      <c r="AD46" s="526">
        <v>87.74</v>
      </c>
      <c r="AE46" s="529">
        <v>122.83</v>
      </c>
      <c r="AF46" s="262"/>
      <c r="AG46" s="528">
        <v>38</v>
      </c>
      <c r="AH46" s="526">
        <v>89.12</v>
      </c>
      <c r="AI46" s="529">
        <v>124.77</v>
      </c>
      <c r="AJ46" s="262"/>
      <c r="AK46" s="528">
        <v>38</v>
      </c>
      <c r="AL46" s="526">
        <v>90.5</v>
      </c>
      <c r="AM46" s="529">
        <v>126.71</v>
      </c>
      <c r="AN46" s="262"/>
      <c r="AO46" s="528">
        <v>38</v>
      </c>
      <c r="AP46" s="526">
        <v>91.89</v>
      </c>
      <c r="AQ46" s="529">
        <v>128.63999999999999</v>
      </c>
      <c r="AR46" s="262"/>
      <c r="AS46" s="528">
        <v>38</v>
      </c>
      <c r="AT46" s="526">
        <v>95.69</v>
      </c>
      <c r="AU46" s="529">
        <v>130.58000000000001</v>
      </c>
      <c r="AV46" s="262"/>
      <c r="AW46" s="528">
        <v>38</v>
      </c>
      <c r="AX46" s="526">
        <v>94.65</v>
      </c>
      <c r="AY46" s="529">
        <v>132.52000000000001</v>
      </c>
      <c r="AZ46" s="262"/>
      <c r="BA46" s="528">
        <v>38</v>
      </c>
      <c r="BB46" s="526">
        <v>96.04</v>
      </c>
      <c r="BC46" s="529">
        <v>134.44999999999999</v>
      </c>
      <c r="BD46" s="262"/>
      <c r="BE46" s="528">
        <v>38</v>
      </c>
      <c r="BF46" s="526">
        <v>97.42</v>
      </c>
      <c r="BG46" s="529">
        <v>136.38999999999999</v>
      </c>
      <c r="BH46" s="262"/>
      <c r="BI46" s="528">
        <v>38</v>
      </c>
      <c r="BJ46" s="526">
        <v>98.8</v>
      </c>
      <c r="BK46" s="529">
        <v>138.32</v>
      </c>
      <c r="BL46" s="262"/>
    </row>
    <row r="47" spans="1:64" ht="23.25">
      <c r="A47" s="263">
        <v>39</v>
      </c>
      <c r="B47" s="1437">
        <f t="shared" si="0"/>
        <v>87.17</v>
      </c>
      <c r="C47" s="1438">
        <f t="shared" si="1"/>
        <v>122.04</v>
      </c>
      <c r="D47" s="262"/>
      <c r="E47" s="1413">
        <v>39</v>
      </c>
      <c r="F47" s="1411">
        <v>81.489999999999995</v>
      </c>
      <c r="G47" s="1414">
        <v>114.09</v>
      </c>
      <c r="H47" s="1401"/>
      <c r="I47" s="1413">
        <v>39</v>
      </c>
      <c r="J47" s="1411">
        <v>82.91</v>
      </c>
      <c r="K47" s="1414">
        <v>116.08</v>
      </c>
      <c r="L47" s="262"/>
      <c r="M47" s="528">
        <v>39</v>
      </c>
      <c r="N47" s="526">
        <v>84.33</v>
      </c>
      <c r="O47" s="529">
        <v>118.07</v>
      </c>
      <c r="P47" s="262"/>
      <c r="Q47" s="528">
        <v>39</v>
      </c>
      <c r="R47" s="526">
        <v>85.75</v>
      </c>
      <c r="S47" s="529">
        <v>120.05</v>
      </c>
      <c r="T47" s="262"/>
      <c r="U47" s="528">
        <v>39</v>
      </c>
      <c r="V47" s="526">
        <v>87.17</v>
      </c>
      <c r="W47" s="529">
        <v>122.04</v>
      </c>
      <c r="X47" s="262"/>
      <c r="Y47" s="528">
        <v>39</v>
      </c>
      <c r="Z47" s="526">
        <v>88.59</v>
      </c>
      <c r="AA47" s="529">
        <v>124.03</v>
      </c>
      <c r="AB47" s="262"/>
      <c r="AC47" s="528">
        <v>39</v>
      </c>
      <c r="AD47" s="526">
        <v>90.01</v>
      </c>
      <c r="AE47" s="529">
        <v>126.02</v>
      </c>
      <c r="AF47" s="262"/>
      <c r="AG47" s="528">
        <v>39</v>
      </c>
      <c r="AH47" s="526">
        <v>91.43</v>
      </c>
      <c r="AI47" s="529">
        <v>128</v>
      </c>
      <c r="AJ47" s="262"/>
      <c r="AK47" s="528">
        <v>39</v>
      </c>
      <c r="AL47" s="526">
        <v>92.85</v>
      </c>
      <c r="AM47" s="529">
        <v>129.99</v>
      </c>
      <c r="AN47" s="262"/>
      <c r="AO47" s="528">
        <v>39</v>
      </c>
      <c r="AP47" s="526">
        <v>94.27</v>
      </c>
      <c r="AQ47" s="529">
        <v>131.97999999999999</v>
      </c>
      <c r="AR47" s="262"/>
      <c r="AS47" s="528">
        <v>39</v>
      </c>
      <c r="AT47" s="526">
        <v>95.69</v>
      </c>
      <c r="AU47" s="529">
        <v>133.97</v>
      </c>
      <c r="AV47" s="262"/>
      <c r="AW47" s="528">
        <v>39</v>
      </c>
      <c r="AX47" s="526">
        <v>97.11</v>
      </c>
      <c r="AY47" s="529">
        <v>135.94999999999999</v>
      </c>
      <c r="AZ47" s="262"/>
      <c r="BA47" s="528">
        <v>39</v>
      </c>
      <c r="BB47" s="526">
        <v>98.53</v>
      </c>
      <c r="BC47" s="529">
        <v>137.94</v>
      </c>
      <c r="BD47" s="262"/>
      <c r="BE47" s="528">
        <v>39</v>
      </c>
      <c r="BF47" s="526">
        <v>99.95</v>
      </c>
      <c r="BG47" s="529">
        <v>139.93</v>
      </c>
      <c r="BH47" s="262"/>
      <c r="BI47" s="528">
        <v>39</v>
      </c>
      <c r="BJ47" s="526">
        <v>101.37</v>
      </c>
      <c r="BK47" s="529">
        <v>141.91999999999999</v>
      </c>
      <c r="BL47" s="262"/>
    </row>
    <row r="48" spans="1:64" ht="23.25">
      <c r="A48" s="264">
        <v>40</v>
      </c>
      <c r="B48" s="1437">
        <f t="shared" si="0"/>
        <v>89.37</v>
      </c>
      <c r="C48" s="1438">
        <f t="shared" si="1"/>
        <v>125.11</v>
      </c>
      <c r="D48" s="265"/>
      <c r="E48" s="1415">
        <v>40</v>
      </c>
      <c r="F48" s="1416">
        <v>83.54</v>
      </c>
      <c r="G48" s="1417">
        <v>116.96</v>
      </c>
      <c r="H48" s="1402"/>
      <c r="I48" s="1415">
        <v>40</v>
      </c>
      <c r="J48" s="1416">
        <v>85</v>
      </c>
      <c r="K48" s="1417">
        <v>119</v>
      </c>
      <c r="L48" s="265"/>
      <c r="M48" s="530">
        <v>40</v>
      </c>
      <c r="N48" s="531">
        <v>86.45</v>
      </c>
      <c r="O48" s="532">
        <v>121.04</v>
      </c>
      <c r="P48" s="265"/>
      <c r="Q48" s="530">
        <v>40</v>
      </c>
      <c r="R48" s="531">
        <v>87.91</v>
      </c>
      <c r="S48" s="532">
        <v>123.08</v>
      </c>
      <c r="T48" s="265"/>
      <c r="U48" s="530">
        <v>40</v>
      </c>
      <c r="V48" s="531">
        <v>89.37</v>
      </c>
      <c r="W48" s="532">
        <v>125.11</v>
      </c>
      <c r="X48" s="265"/>
      <c r="Y48" s="530">
        <v>40</v>
      </c>
      <c r="Z48" s="531">
        <v>90.82</v>
      </c>
      <c r="AA48" s="532">
        <v>127.15</v>
      </c>
      <c r="AB48" s="265"/>
      <c r="AC48" s="530">
        <v>40</v>
      </c>
      <c r="AD48" s="531">
        <v>92.28</v>
      </c>
      <c r="AE48" s="532">
        <v>129.19</v>
      </c>
      <c r="AF48" s="265"/>
      <c r="AG48" s="530">
        <v>40</v>
      </c>
      <c r="AH48" s="531">
        <v>93.73</v>
      </c>
      <c r="AI48" s="532">
        <v>131.22999999999999</v>
      </c>
      <c r="AJ48" s="265"/>
      <c r="AK48" s="530">
        <v>40</v>
      </c>
      <c r="AL48" s="531">
        <v>95.19</v>
      </c>
      <c r="AM48" s="532">
        <v>133.27000000000001</v>
      </c>
      <c r="AN48" s="265"/>
      <c r="AO48" s="530">
        <v>40</v>
      </c>
      <c r="AP48" s="531">
        <v>96.65</v>
      </c>
      <c r="AQ48" s="532">
        <v>135.31</v>
      </c>
      <c r="AR48" s="265"/>
      <c r="AS48" s="530">
        <v>40</v>
      </c>
      <c r="AT48" s="531">
        <v>98.1</v>
      </c>
      <c r="AU48" s="532">
        <v>137.34</v>
      </c>
      <c r="AV48" s="265"/>
      <c r="AW48" s="530">
        <v>40</v>
      </c>
      <c r="AX48" s="531">
        <v>99.56</v>
      </c>
      <c r="AY48" s="532">
        <v>139.38</v>
      </c>
      <c r="AZ48" s="265"/>
      <c r="BA48" s="530">
        <v>40</v>
      </c>
      <c r="BB48" s="531">
        <v>101.01</v>
      </c>
      <c r="BC48" s="532">
        <v>141.41999999999999</v>
      </c>
      <c r="BD48" s="265"/>
      <c r="BE48" s="530">
        <v>40</v>
      </c>
      <c r="BF48" s="531">
        <v>102.47</v>
      </c>
      <c r="BG48" s="532">
        <v>143.46</v>
      </c>
      <c r="BH48" s="265"/>
      <c r="BI48" s="530">
        <v>40</v>
      </c>
      <c r="BJ48" s="531">
        <v>103.93</v>
      </c>
      <c r="BK48" s="532">
        <v>145.5</v>
      </c>
      <c r="BL48" s="265"/>
    </row>
    <row r="49" spans="1:64" ht="23.25">
      <c r="A49" s="261">
        <v>41</v>
      </c>
      <c r="B49" s="1437">
        <f t="shared" si="0"/>
        <v>91.58</v>
      </c>
      <c r="C49" s="1438">
        <f t="shared" si="1"/>
        <v>128.21</v>
      </c>
      <c r="D49" s="266"/>
      <c r="E49" s="1418">
        <v>41</v>
      </c>
      <c r="F49" s="1419">
        <v>85.61</v>
      </c>
      <c r="G49" s="1412">
        <v>119.86</v>
      </c>
      <c r="H49" s="1403"/>
      <c r="I49" s="1418">
        <v>41</v>
      </c>
      <c r="J49" s="1419">
        <v>87.1</v>
      </c>
      <c r="K49" s="1412">
        <v>121.95</v>
      </c>
      <c r="L49" s="266"/>
      <c r="M49" s="533">
        <v>41</v>
      </c>
      <c r="N49" s="534">
        <v>88.6</v>
      </c>
      <c r="O49" s="527">
        <v>124.04</v>
      </c>
      <c r="P49" s="266"/>
      <c r="Q49" s="533">
        <v>41</v>
      </c>
      <c r="R49" s="534">
        <v>90.09</v>
      </c>
      <c r="S49" s="527">
        <v>126.12</v>
      </c>
      <c r="T49" s="266"/>
      <c r="U49" s="533">
        <v>41</v>
      </c>
      <c r="V49" s="534">
        <v>91.58</v>
      </c>
      <c r="W49" s="527">
        <v>128.21</v>
      </c>
      <c r="X49" s="266"/>
      <c r="Y49" s="533">
        <v>41</v>
      </c>
      <c r="Z49" s="534">
        <v>93.07</v>
      </c>
      <c r="AA49" s="527">
        <v>130.30000000000001</v>
      </c>
      <c r="AB49" s="266"/>
      <c r="AC49" s="533">
        <v>41</v>
      </c>
      <c r="AD49" s="534">
        <v>94.57</v>
      </c>
      <c r="AE49" s="527">
        <v>132.38999999999999</v>
      </c>
      <c r="AF49" s="266"/>
      <c r="AG49" s="533">
        <v>41</v>
      </c>
      <c r="AH49" s="534">
        <v>96.06</v>
      </c>
      <c r="AI49" s="527">
        <v>134.47999999999999</v>
      </c>
      <c r="AJ49" s="266"/>
      <c r="AK49" s="533">
        <v>41</v>
      </c>
      <c r="AL49" s="534">
        <v>97.55</v>
      </c>
      <c r="AM49" s="527">
        <v>136.57</v>
      </c>
      <c r="AN49" s="266"/>
      <c r="AO49" s="533">
        <v>41</v>
      </c>
      <c r="AP49" s="534">
        <v>99.04</v>
      </c>
      <c r="AQ49" s="527">
        <v>138.66</v>
      </c>
      <c r="AR49" s="266"/>
      <c r="AS49" s="533">
        <v>41</v>
      </c>
      <c r="AT49" s="534">
        <v>100.54</v>
      </c>
      <c r="AU49" s="527">
        <v>140.75</v>
      </c>
      <c r="AV49" s="266"/>
      <c r="AW49" s="533">
        <v>41</v>
      </c>
      <c r="AX49" s="534">
        <v>102.03</v>
      </c>
      <c r="AY49" s="527">
        <v>142.84</v>
      </c>
      <c r="AZ49" s="266"/>
      <c r="BA49" s="533">
        <v>41</v>
      </c>
      <c r="BB49" s="534">
        <v>103.52</v>
      </c>
      <c r="BC49" s="527">
        <v>144.93</v>
      </c>
      <c r="BD49" s="266"/>
      <c r="BE49" s="533">
        <v>41</v>
      </c>
      <c r="BF49" s="534">
        <v>105.01</v>
      </c>
      <c r="BG49" s="527">
        <v>147.02000000000001</v>
      </c>
      <c r="BH49" s="266"/>
      <c r="BI49" s="533">
        <v>41</v>
      </c>
      <c r="BJ49" s="534">
        <v>106.51</v>
      </c>
      <c r="BK49" s="527">
        <v>149.11000000000001</v>
      </c>
      <c r="BL49" s="266"/>
    </row>
    <row r="50" spans="1:64" ht="23.25">
      <c r="A50" s="263">
        <v>42</v>
      </c>
      <c r="B50" s="1437">
        <f t="shared" si="0"/>
        <v>93.79</v>
      </c>
      <c r="C50" s="1438">
        <f t="shared" si="1"/>
        <v>131.30000000000001</v>
      </c>
      <c r="E50" s="1420">
        <v>42</v>
      </c>
      <c r="F50" s="1421">
        <v>87.67</v>
      </c>
      <c r="G50" s="1414">
        <v>122.74</v>
      </c>
      <c r="H50" s="1404"/>
      <c r="I50" s="1420">
        <v>42</v>
      </c>
      <c r="J50" s="1421">
        <v>89.2</v>
      </c>
      <c r="K50" s="1414">
        <v>124.88</v>
      </c>
      <c r="M50" s="535">
        <v>42</v>
      </c>
      <c r="N50" s="536">
        <v>90.73</v>
      </c>
      <c r="O50" s="529">
        <v>127.02</v>
      </c>
      <c r="Q50" s="535">
        <v>42</v>
      </c>
      <c r="R50" s="536">
        <v>92.26</v>
      </c>
      <c r="S50" s="529">
        <v>129.16</v>
      </c>
      <c r="U50" s="535">
        <v>42</v>
      </c>
      <c r="V50" s="536">
        <v>93.79</v>
      </c>
      <c r="W50" s="529">
        <v>131.30000000000001</v>
      </c>
      <c r="Y50" s="535">
        <v>42</v>
      </c>
      <c r="Z50" s="536">
        <v>95.31</v>
      </c>
      <c r="AA50" s="529">
        <v>133.44</v>
      </c>
      <c r="AC50" s="535">
        <v>42</v>
      </c>
      <c r="AD50" s="536">
        <v>96.84</v>
      </c>
      <c r="AE50" s="529">
        <v>135.58000000000001</v>
      </c>
      <c r="AG50" s="535">
        <v>42</v>
      </c>
      <c r="AH50" s="536">
        <v>98.37</v>
      </c>
      <c r="AI50" s="529">
        <v>137.72</v>
      </c>
      <c r="AK50" s="535">
        <v>42</v>
      </c>
      <c r="AL50" s="536">
        <v>99.9</v>
      </c>
      <c r="AM50" s="529">
        <v>139.86000000000001</v>
      </c>
      <c r="AO50" s="535">
        <v>42</v>
      </c>
      <c r="AP50" s="536">
        <v>101.43</v>
      </c>
      <c r="AQ50" s="529">
        <v>142</v>
      </c>
      <c r="AS50" s="535">
        <v>42</v>
      </c>
      <c r="AT50" s="536">
        <v>102.96</v>
      </c>
      <c r="AU50" s="529">
        <v>144.13999999999999</v>
      </c>
      <c r="AW50" s="535">
        <v>42</v>
      </c>
      <c r="AX50" s="536">
        <v>104.49</v>
      </c>
      <c r="AY50" s="529">
        <v>146.28</v>
      </c>
      <c r="BA50" s="535">
        <v>42</v>
      </c>
      <c r="BB50" s="536">
        <v>106.02</v>
      </c>
      <c r="BC50" s="529">
        <v>148.41999999999999</v>
      </c>
      <c r="BE50" s="535">
        <v>42</v>
      </c>
      <c r="BF50" s="536">
        <v>107.54</v>
      </c>
      <c r="BG50" s="529">
        <v>150.56</v>
      </c>
      <c r="BI50" s="535">
        <v>42</v>
      </c>
      <c r="BJ50" s="536">
        <v>109.07</v>
      </c>
      <c r="BK50" s="529">
        <v>152.69999999999999</v>
      </c>
    </row>
    <row r="51" spans="1:64" ht="23.25">
      <c r="A51" s="263">
        <v>43</v>
      </c>
      <c r="B51" s="1437">
        <f t="shared" si="0"/>
        <v>95.98</v>
      </c>
      <c r="C51" s="1438">
        <f t="shared" si="1"/>
        <v>134.37</v>
      </c>
      <c r="E51" s="1420">
        <v>43</v>
      </c>
      <c r="F51" s="1421">
        <v>89.72</v>
      </c>
      <c r="G51" s="1414">
        <v>125.6</v>
      </c>
      <c r="H51" s="1404"/>
      <c r="I51" s="1420">
        <v>43</v>
      </c>
      <c r="J51" s="1421">
        <v>91.28</v>
      </c>
      <c r="K51" s="1414">
        <v>127.79</v>
      </c>
      <c r="M51" s="535">
        <v>43</v>
      </c>
      <c r="N51" s="536">
        <v>92.85</v>
      </c>
      <c r="O51" s="529">
        <v>129.99</v>
      </c>
      <c r="Q51" s="535">
        <v>43</v>
      </c>
      <c r="R51" s="536">
        <v>94.41</v>
      </c>
      <c r="S51" s="529">
        <v>132.18</v>
      </c>
      <c r="U51" s="535">
        <v>43</v>
      </c>
      <c r="V51" s="536">
        <v>95.98</v>
      </c>
      <c r="W51" s="529">
        <v>134.37</v>
      </c>
      <c r="Y51" s="535">
        <v>43</v>
      </c>
      <c r="Z51" s="536">
        <v>97.54</v>
      </c>
      <c r="AA51" s="529">
        <v>136.56</v>
      </c>
      <c r="AC51" s="535">
        <v>43</v>
      </c>
      <c r="AD51" s="536">
        <v>99.11</v>
      </c>
      <c r="AE51" s="529">
        <v>138.75</v>
      </c>
      <c r="AG51" s="535">
        <v>43</v>
      </c>
      <c r="AH51" s="536">
        <v>100.67</v>
      </c>
      <c r="AI51" s="529">
        <v>140.94</v>
      </c>
      <c r="AK51" s="535">
        <v>43</v>
      </c>
      <c r="AL51" s="536">
        <v>102.24</v>
      </c>
      <c r="AM51" s="529">
        <v>143.13</v>
      </c>
      <c r="AO51" s="535">
        <v>43</v>
      </c>
      <c r="AP51" s="536">
        <v>103.8</v>
      </c>
      <c r="AQ51" s="529">
        <v>145.32</v>
      </c>
      <c r="AS51" s="535">
        <v>43</v>
      </c>
      <c r="AT51" s="536">
        <v>105.37</v>
      </c>
      <c r="AU51" s="529">
        <v>147.52000000000001</v>
      </c>
      <c r="AW51" s="535">
        <v>43</v>
      </c>
      <c r="AX51" s="536">
        <v>106.93</v>
      </c>
      <c r="AY51" s="529">
        <v>149.71</v>
      </c>
      <c r="BA51" s="535">
        <v>43</v>
      </c>
      <c r="BB51" s="536">
        <v>108.5</v>
      </c>
      <c r="BC51" s="529">
        <v>151.9</v>
      </c>
      <c r="BE51" s="535">
        <v>43</v>
      </c>
      <c r="BF51" s="536">
        <v>110.06</v>
      </c>
      <c r="BG51" s="529">
        <v>154.09</v>
      </c>
      <c r="BI51" s="535">
        <v>43</v>
      </c>
      <c r="BJ51" s="536">
        <v>111.63</v>
      </c>
      <c r="BK51" s="529">
        <v>156.28</v>
      </c>
    </row>
    <row r="52" spans="1:64" ht="23.25">
      <c r="A52" s="263">
        <v>44</v>
      </c>
      <c r="B52" s="1437">
        <f t="shared" si="0"/>
        <v>98.19</v>
      </c>
      <c r="C52" s="1438">
        <f t="shared" si="1"/>
        <v>137.46</v>
      </c>
      <c r="E52" s="1420">
        <v>44</v>
      </c>
      <c r="F52" s="1421">
        <v>91.78</v>
      </c>
      <c r="G52" s="1414">
        <v>128.49</v>
      </c>
      <c r="H52" s="1404"/>
      <c r="I52" s="1420">
        <v>44</v>
      </c>
      <c r="J52" s="1421">
        <v>93.38</v>
      </c>
      <c r="K52" s="1414">
        <v>130.74</v>
      </c>
      <c r="M52" s="535">
        <v>44</v>
      </c>
      <c r="N52" s="536">
        <v>94.98</v>
      </c>
      <c r="O52" s="529">
        <v>132.97999999999999</v>
      </c>
      <c r="Q52" s="535">
        <v>44</v>
      </c>
      <c r="R52" s="536">
        <v>96.59</v>
      </c>
      <c r="S52" s="529">
        <v>135.22</v>
      </c>
      <c r="U52" s="535">
        <v>44</v>
      </c>
      <c r="V52" s="536">
        <v>98.19</v>
      </c>
      <c r="W52" s="529">
        <v>137.46</v>
      </c>
      <c r="Y52" s="535">
        <v>44</v>
      </c>
      <c r="Z52" s="536">
        <v>99.79</v>
      </c>
      <c r="AA52" s="529">
        <v>139.69999999999999</v>
      </c>
      <c r="AC52" s="535">
        <v>44</v>
      </c>
      <c r="AD52" s="536">
        <v>101.39</v>
      </c>
      <c r="AE52" s="529">
        <v>141.94999999999999</v>
      </c>
      <c r="AG52" s="535">
        <v>44</v>
      </c>
      <c r="AH52" s="536">
        <v>102.99</v>
      </c>
      <c r="AI52" s="529">
        <v>144.19</v>
      </c>
      <c r="AK52" s="535">
        <v>44</v>
      </c>
      <c r="AL52" s="536">
        <v>104.59</v>
      </c>
      <c r="AM52" s="529">
        <v>146.43</v>
      </c>
      <c r="AO52" s="535">
        <v>44</v>
      </c>
      <c r="AP52" s="536">
        <v>106.2</v>
      </c>
      <c r="AQ52" s="529">
        <v>148.66999999999999</v>
      </c>
      <c r="AS52" s="535">
        <v>44</v>
      </c>
      <c r="AT52" s="536">
        <v>107.8</v>
      </c>
      <c r="AU52" s="529">
        <v>150.91999999999999</v>
      </c>
      <c r="AW52" s="535">
        <v>44</v>
      </c>
      <c r="AX52" s="536">
        <v>109.4</v>
      </c>
      <c r="AY52" s="529">
        <v>153.16</v>
      </c>
      <c r="BA52" s="535">
        <v>44</v>
      </c>
      <c r="BB52" s="536">
        <v>111</v>
      </c>
      <c r="BC52" s="529">
        <v>155.4</v>
      </c>
      <c r="BE52" s="535">
        <v>44</v>
      </c>
      <c r="BF52" s="536">
        <v>112.6</v>
      </c>
      <c r="BG52" s="529">
        <v>157.63999999999999</v>
      </c>
      <c r="BI52" s="535">
        <v>44</v>
      </c>
      <c r="BJ52" s="536">
        <v>114.2</v>
      </c>
      <c r="BK52" s="529">
        <v>159.88</v>
      </c>
    </row>
    <row r="53" spans="1:64" ht="23.25">
      <c r="A53" s="263">
        <v>45</v>
      </c>
      <c r="B53" s="1437">
        <f t="shared" si="0"/>
        <v>100.38</v>
      </c>
      <c r="C53" s="1438">
        <f t="shared" si="1"/>
        <v>140.53</v>
      </c>
      <c r="E53" s="1420">
        <v>45</v>
      </c>
      <c r="F53" s="1421">
        <v>93.83</v>
      </c>
      <c r="G53" s="1414">
        <v>131.36000000000001</v>
      </c>
      <c r="H53" s="1404"/>
      <c r="I53" s="1420">
        <v>45</v>
      </c>
      <c r="J53" s="1421">
        <v>95.47</v>
      </c>
      <c r="K53" s="1414">
        <v>133.65</v>
      </c>
      <c r="M53" s="535">
        <v>45</v>
      </c>
      <c r="N53" s="536">
        <v>97.11</v>
      </c>
      <c r="O53" s="529">
        <v>135.94999999999999</v>
      </c>
      <c r="Q53" s="535">
        <v>45</v>
      </c>
      <c r="R53" s="536">
        <v>98.74</v>
      </c>
      <c r="S53" s="529">
        <v>138.24</v>
      </c>
      <c r="U53" s="535">
        <v>45</v>
      </c>
      <c r="V53" s="536">
        <v>100.38</v>
      </c>
      <c r="W53" s="529">
        <v>140.53</v>
      </c>
      <c r="Y53" s="535">
        <v>45</v>
      </c>
      <c r="Z53" s="536">
        <v>102.02</v>
      </c>
      <c r="AA53" s="529">
        <v>142.83000000000001</v>
      </c>
      <c r="AC53" s="535">
        <v>45</v>
      </c>
      <c r="AD53" s="536">
        <v>103.66</v>
      </c>
      <c r="AE53" s="529">
        <v>145.12</v>
      </c>
      <c r="AG53" s="535">
        <v>45</v>
      </c>
      <c r="AH53" s="536">
        <v>105.3</v>
      </c>
      <c r="AI53" s="529">
        <v>147.41</v>
      </c>
      <c r="AK53" s="535">
        <v>45</v>
      </c>
      <c r="AL53" s="536">
        <v>106.93</v>
      </c>
      <c r="AM53" s="529">
        <v>149.71</v>
      </c>
      <c r="AO53" s="535">
        <v>45</v>
      </c>
      <c r="AP53" s="536">
        <v>108.57</v>
      </c>
      <c r="AQ53" s="529">
        <v>152</v>
      </c>
      <c r="AS53" s="535">
        <v>45</v>
      </c>
      <c r="AT53" s="536">
        <v>110.21</v>
      </c>
      <c r="AU53" s="529">
        <v>154.29</v>
      </c>
      <c r="AW53" s="535">
        <v>45</v>
      </c>
      <c r="AX53" s="536">
        <v>111.85</v>
      </c>
      <c r="AY53" s="529">
        <v>156.59</v>
      </c>
      <c r="BA53" s="535">
        <v>45</v>
      </c>
      <c r="BB53" s="536">
        <v>113.49</v>
      </c>
      <c r="BC53" s="529">
        <v>158.88</v>
      </c>
      <c r="BE53" s="535">
        <v>45</v>
      </c>
      <c r="BF53" s="536">
        <v>115.12</v>
      </c>
      <c r="BG53" s="529">
        <v>161.16999999999999</v>
      </c>
      <c r="BI53" s="535">
        <v>45</v>
      </c>
      <c r="BJ53" s="536">
        <v>116.76</v>
      </c>
      <c r="BK53" s="529">
        <v>163.47</v>
      </c>
    </row>
    <row r="54" spans="1:64" ht="23.25">
      <c r="A54" s="263">
        <v>46</v>
      </c>
      <c r="B54" s="1437">
        <f t="shared" si="0"/>
        <v>102.59</v>
      </c>
      <c r="C54" s="1438">
        <f t="shared" si="1"/>
        <v>143.63</v>
      </c>
      <c r="E54" s="1420">
        <v>46</v>
      </c>
      <c r="F54" s="1421">
        <v>95.9</v>
      </c>
      <c r="G54" s="1414">
        <v>134.25</v>
      </c>
      <c r="H54" s="1404"/>
      <c r="I54" s="1420">
        <v>46</v>
      </c>
      <c r="J54" s="1421">
        <v>97.57</v>
      </c>
      <c r="K54" s="1414">
        <v>136.6</v>
      </c>
      <c r="M54" s="535">
        <v>46</v>
      </c>
      <c r="N54" s="536">
        <v>99.24</v>
      </c>
      <c r="O54" s="529">
        <v>138.94</v>
      </c>
      <c r="Q54" s="535">
        <v>46</v>
      </c>
      <c r="R54" s="536">
        <v>100.92</v>
      </c>
      <c r="S54" s="529">
        <v>141.29</v>
      </c>
      <c r="U54" s="535">
        <v>46</v>
      </c>
      <c r="V54" s="536">
        <v>102.59</v>
      </c>
      <c r="W54" s="529">
        <v>143.63</v>
      </c>
      <c r="Y54" s="535">
        <v>46</v>
      </c>
      <c r="Z54" s="536">
        <v>104.27</v>
      </c>
      <c r="AA54" s="529">
        <v>145.97999999999999</v>
      </c>
      <c r="AC54" s="535">
        <v>46</v>
      </c>
      <c r="AD54" s="536">
        <v>105.94</v>
      </c>
      <c r="AE54" s="529">
        <v>148.32</v>
      </c>
      <c r="AG54" s="535">
        <v>46</v>
      </c>
      <c r="AH54" s="536">
        <v>107.62</v>
      </c>
      <c r="AI54" s="529">
        <v>150.66</v>
      </c>
      <c r="AK54" s="535">
        <v>46</v>
      </c>
      <c r="AL54" s="536">
        <v>109.29</v>
      </c>
      <c r="AM54" s="529">
        <v>153.01</v>
      </c>
      <c r="AO54" s="535">
        <v>46</v>
      </c>
      <c r="AP54" s="536">
        <v>110.97</v>
      </c>
      <c r="AQ54" s="529">
        <v>155.35</v>
      </c>
      <c r="AS54" s="535">
        <v>46</v>
      </c>
      <c r="AT54" s="536">
        <v>112.64</v>
      </c>
      <c r="AU54" s="529">
        <v>157.69999999999999</v>
      </c>
      <c r="AW54" s="535">
        <v>46</v>
      </c>
      <c r="AX54" s="536">
        <v>114.31</v>
      </c>
      <c r="AY54" s="529">
        <v>160.04</v>
      </c>
      <c r="BA54" s="535">
        <v>46</v>
      </c>
      <c r="BB54" s="536">
        <v>115.99</v>
      </c>
      <c r="BC54" s="529">
        <v>162.38</v>
      </c>
      <c r="BE54" s="535">
        <v>46</v>
      </c>
      <c r="BF54" s="536">
        <v>117.66</v>
      </c>
      <c r="BG54" s="529">
        <v>164.73</v>
      </c>
      <c r="BI54" s="535">
        <v>46</v>
      </c>
      <c r="BJ54" s="536">
        <v>119.34</v>
      </c>
      <c r="BK54" s="529">
        <v>167.07</v>
      </c>
    </row>
    <row r="55" spans="1:64" ht="23.25">
      <c r="A55" s="263">
        <v>47</v>
      </c>
      <c r="B55" s="1437">
        <f t="shared" si="0"/>
        <v>104.79</v>
      </c>
      <c r="C55" s="1438">
        <f t="shared" si="1"/>
        <v>146.69999999999999</v>
      </c>
      <c r="E55" s="1420">
        <v>47</v>
      </c>
      <c r="F55" s="1421">
        <v>97.94</v>
      </c>
      <c r="G55" s="1414">
        <v>137.12</v>
      </c>
      <c r="H55" s="1404"/>
      <c r="I55" s="1420">
        <v>47</v>
      </c>
      <c r="J55" s="1421">
        <v>99.65</v>
      </c>
      <c r="K55" s="1414">
        <v>139.51</v>
      </c>
      <c r="M55" s="535">
        <v>47</v>
      </c>
      <c r="N55" s="536">
        <v>101.36</v>
      </c>
      <c r="O55" s="529">
        <v>141.91</v>
      </c>
      <c r="Q55" s="535">
        <v>47</v>
      </c>
      <c r="R55" s="536">
        <v>103.07</v>
      </c>
      <c r="S55" s="529">
        <v>144.30000000000001</v>
      </c>
      <c r="U55" s="535">
        <v>47</v>
      </c>
      <c r="V55" s="536">
        <v>104.79</v>
      </c>
      <c r="W55" s="529">
        <v>146.69999999999999</v>
      </c>
      <c r="Y55" s="535">
        <v>47</v>
      </c>
      <c r="Z55" s="536">
        <v>106.5</v>
      </c>
      <c r="AA55" s="529">
        <v>149.1</v>
      </c>
      <c r="AC55" s="535">
        <v>47</v>
      </c>
      <c r="AD55" s="536">
        <v>108.21</v>
      </c>
      <c r="AE55" s="529">
        <v>151.21</v>
      </c>
      <c r="AG55" s="535">
        <v>47</v>
      </c>
      <c r="AH55" s="536">
        <v>109.92</v>
      </c>
      <c r="AI55" s="529">
        <v>153.88999999999999</v>
      </c>
      <c r="AK55" s="535">
        <v>47</v>
      </c>
      <c r="AL55" s="536">
        <v>111.63</v>
      </c>
      <c r="AM55" s="529">
        <v>156.28</v>
      </c>
      <c r="AO55" s="535">
        <v>47</v>
      </c>
      <c r="AP55" s="536">
        <v>113.34</v>
      </c>
      <c r="AQ55" s="529">
        <v>158.68</v>
      </c>
      <c r="AS55" s="535">
        <v>47</v>
      </c>
      <c r="AT55" s="536">
        <v>115.05</v>
      </c>
      <c r="AU55" s="529">
        <v>161.07</v>
      </c>
      <c r="AW55" s="535">
        <v>47</v>
      </c>
      <c r="AX55" s="536">
        <v>116.76</v>
      </c>
      <c r="AY55" s="529">
        <v>163.47</v>
      </c>
      <c r="BA55" s="535">
        <v>47</v>
      </c>
      <c r="BB55" s="536">
        <v>118.47</v>
      </c>
      <c r="BC55" s="529">
        <v>165.86</v>
      </c>
      <c r="BE55" s="535">
        <v>47</v>
      </c>
      <c r="BF55" s="536">
        <v>120.18</v>
      </c>
      <c r="BG55" s="529">
        <v>168.26</v>
      </c>
      <c r="BI55" s="535">
        <v>47</v>
      </c>
      <c r="BJ55" s="536">
        <v>121.89</v>
      </c>
      <c r="BK55" s="529">
        <v>170.65</v>
      </c>
    </row>
    <row r="56" spans="1:64" ht="23.25">
      <c r="A56" s="263">
        <v>48</v>
      </c>
      <c r="B56" s="1437">
        <f t="shared" si="0"/>
        <v>107</v>
      </c>
      <c r="C56" s="1438">
        <f t="shared" si="1"/>
        <v>149.79</v>
      </c>
      <c r="E56" s="1420">
        <v>48</v>
      </c>
      <c r="F56" s="1421">
        <v>100.01</v>
      </c>
      <c r="G56" s="1414">
        <v>140.01</v>
      </c>
      <c r="H56" s="1404"/>
      <c r="I56" s="1420">
        <v>48</v>
      </c>
      <c r="J56" s="1421">
        <v>101.75</v>
      </c>
      <c r="K56" s="1414">
        <v>142.46</v>
      </c>
      <c r="M56" s="535">
        <v>48</v>
      </c>
      <c r="N56" s="536">
        <v>103.5</v>
      </c>
      <c r="O56" s="529">
        <v>144.9</v>
      </c>
      <c r="Q56" s="535">
        <v>48</v>
      </c>
      <c r="R56" s="536">
        <v>105.25</v>
      </c>
      <c r="S56" s="529">
        <v>147.35</v>
      </c>
      <c r="U56" s="535">
        <v>48</v>
      </c>
      <c r="V56" s="536">
        <v>107</v>
      </c>
      <c r="W56" s="529">
        <v>149.79</v>
      </c>
      <c r="Y56" s="535">
        <v>48</v>
      </c>
      <c r="Z56" s="536">
        <v>108.74</v>
      </c>
      <c r="AA56" s="529">
        <v>152.24</v>
      </c>
      <c r="AC56" s="535">
        <v>48</v>
      </c>
      <c r="AD56" s="536">
        <v>110.49</v>
      </c>
      <c r="AE56" s="529">
        <v>154.69</v>
      </c>
      <c r="AG56" s="535">
        <v>48</v>
      </c>
      <c r="AH56" s="536">
        <v>112.24</v>
      </c>
      <c r="AI56" s="529">
        <v>157.13</v>
      </c>
      <c r="AK56" s="535">
        <v>48</v>
      </c>
      <c r="AL56" s="536">
        <v>113.98</v>
      </c>
      <c r="AM56" s="529">
        <v>159.58000000000001</v>
      </c>
      <c r="AO56" s="535">
        <v>48</v>
      </c>
      <c r="AP56" s="536">
        <v>115.73</v>
      </c>
      <c r="AQ56" s="529">
        <v>162.02000000000001</v>
      </c>
      <c r="AS56" s="535">
        <v>48</v>
      </c>
      <c r="AT56" s="536">
        <v>117.48</v>
      </c>
      <c r="AU56" s="529">
        <v>164.47</v>
      </c>
      <c r="AW56" s="535">
        <v>48</v>
      </c>
      <c r="AX56" s="536">
        <v>119.23</v>
      </c>
      <c r="AY56" s="529">
        <v>166.92</v>
      </c>
      <c r="BA56" s="535">
        <v>48</v>
      </c>
      <c r="BB56" s="536">
        <v>120.97</v>
      </c>
      <c r="BC56" s="529">
        <v>169.36</v>
      </c>
      <c r="BE56" s="535">
        <v>48</v>
      </c>
      <c r="BF56" s="536">
        <v>122.72</v>
      </c>
      <c r="BG56" s="529">
        <v>171.81</v>
      </c>
      <c r="BI56" s="535">
        <v>48</v>
      </c>
      <c r="BJ56" s="536">
        <v>124.47</v>
      </c>
      <c r="BK56" s="529">
        <v>174.25</v>
      </c>
    </row>
    <row r="57" spans="1:64" ht="23.25">
      <c r="A57" s="263">
        <v>49</v>
      </c>
      <c r="B57" s="1437">
        <f t="shared" si="0"/>
        <v>109.18</v>
      </c>
      <c r="C57" s="1438">
        <f t="shared" si="1"/>
        <v>152.85</v>
      </c>
      <c r="E57" s="1420">
        <v>49</v>
      </c>
      <c r="F57" s="1421">
        <v>102.05</v>
      </c>
      <c r="G57" s="1414">
        <v>142.86000000000001</v>
      </c>
      <c r="H57" s="1404"/>
      <c r="I57" s="1420">
        <v>49</v>
      </c>
      <c r="J57" s="1421">
        <v>103.83</v>
      </c>
      <c r="K57" s="1414">
        <v>145.36000000000001</v>
      </c>
      <c r="M57" s="535">
        <v>49</v>
      </c>
      <c r="N57" s="536">
        <v>105.61</v>
      </c>
      <c r="O57" s="529">
        <v>147.86000000000001</v>
      </c>
      <c r="Q57" s="535">
        <v>49</v>
      </c>
      <c r="R57" s="536">
        <v>107.4</v>
      </c>
      <c r="S57" s="529">
        <v>150.36000000000001</v>
      </c>
      <c r="U57" s="535">
        <v>49</v>
      </c>
      <c r="V57" s="536">
        <v>109.18</v>
      </c>
      <c r="W57" s="529">
        <v>152.85</v>
      </c>
      <c r="Y57" s="535">
        <v>49</v>
      </c>
      <c r="Z57" s="536">
        <v>110.96</v>
      </c>
      <c r="AA57" s="529">
        <v>155.35</v>
      </c>
      <c r="AC57" s="535">
        <v>49</v>
      </c>
      <c r="AD57" s="536">
        <v>112.75</v>
      </c>
      <c r="AE57" s="529">
        <v>157.85</v>
      </c>
      <c r="AG57" s="535">
        <v>49</v>
      </c>
      <c r="AH57" s="536">
        <v>114.53</v>
      </c>
      <c r="AI57" s="529">
        <v>160.34</v>
      </c>
      <c r="AK57" s="535">
        <v>49</v>
      </c>
      <c r="AL57" s="536">
        <v>116.31</v>
      </c>
      <c r="AM57" s="529">
        <v>162.84</v>
      </c>
      <c r="AO57" s="535">
        <v>49</v>
      </c>
      <c r="AP57" s="536">
        <v>118.1</v>
      </c>
      <c r="AQ57" s="529">
        <v>165.34</v>
      </c>
      <c r="AS57" s="535">
        <v>49</v>
      </c>
      <c r="AT57" s="536">
        <v>119.88</v>
      </c>
      <c r="AU57" s="529">
        <v>167.83</v>
      </c>
      <c r="AW57" s="535">
        <v>49</v>
      </c>
      <c r="AX57" s="536">
        <v>121.67</v>
      </c>
      <c r="AY57" s="529">
        <v>170.33</v>
      </c>
      <c r="BA57" s="535">
        <v>49</v>
      </c>
      <c r="BB57" s="536">
        <v>123.45</v>
      </c>
      <c r="BC57" s="529">
        <v>172.83</v>
      </c>
      <c r="BE57" s="535">
        <v>49</v>
      </c>
      <c r="BF57" s="536">
        <v>125.23</v>
      </c>
      <c r="BG57" s="529">
        <v>175.3</v>
      </c>
      <c r="BI57" s="535">
        <v>49</v>
      </c>
      <c r="BJ57" s="536">
        <v>127.02</v>
      </c>
      <c r="BK57" s="529">
        <v>177.82</v>
      </c>
    </row>
    <row r="58" spans="1:64" ht="23.25">
      <c r="A58" s="263">
        <v>50</v>
      </c>
      <c r="B58" s="1437">
        <f t="shared" si="0"/>
        <v>111.38</v>
      </c>
      <c r="C58" s="1438">
        <f t="shared" si="1"/>
        <v>155.93</v>
      </c>
      <c r="E58" s="1420">
        <v>50</v>
      </c>
      <c r="F58" s="1421">
        <v>104.1</v>
      </c>
      <c r="G58" s="1414">
        <v>145.74</v>
      </c>
      <c r="H58" s="1404"/>
      <c r="I58" s="1420">
        <v>50</v>
      </c>
      <c r="J58" s="1421">
        <v>105.92</v>
      </c>
      <c r="K58" s="1414">
        <v>148.29</v>
      </c>
      <c r="M58" s="535">
        <v>50</v>
      </c>
      <c r="N58" s="536">
        <v>107.74</v>
      </c>
      <c r="O58" s="529">
        <v>150.74</v>
      </c>
      <c r="Q58" s="535">
        <v>50</v>
      </c>
      <c r="R58" s="536">
        <v>109.56</v>
      </c>
      <c r="S58" s="529">
        <v>153.38999999999999</v>
      </c>
      <c r="U58" s="535">
        <v>50</v>
      </c>
      <c r="V58" s="536">
        <v>111.38</v>
      </c>
      <c r="W58" s="529">
        <v>155.93</v>
      </c>
      <c r="Y58" s="535">
        <v>50</v>
      </c>
      <c r="Z58" s="536">
        <v>113.2</v>
      </c>
      <c r="AA58" s="529">
        <v>158.47999999999999</v>
      </c>
      <c r="AC58" s="535">
        <v>50</v>
      </c>
      <c r="AD58" s="536">
        <v>115.02</v>
      </c>
      <c r="AE58" s="529">
        <v>161.03</v>
      </c>
      <c r="AG58" s="535">
        <v>50</v>
      </c>
      <c r="AH58" s="536">
        <v>116.84</v>
      </c>
      <c r="AI58" s="529">
        <v>163.58000000000001</v>
      </c>
      <c r="AK58" s="535">
        <v>50</v>
      </c>
      <c r="AL58" s="536">
        <v>118.66</v>
      </c>
      <c r="AM58" s="529">
        <v>166.13</v>
      </c>
      <c r="AO58" s="535">
        <v>50</v>
      </c>
      <c r="AP58" s="536">
        <v>120.48</v>
      </c>
      <c r="AQ58" s="529">
        <v>168.67</v>
      </c>
      <c r="AS58" s="535">
        <v>50</v>
      </c>
      <c r="AT58" s="536">
        <v>122.3</v>
      </c>
      <c r="AU58" s="529">
        <v>171.22</v>
      </c>
      <c r="AW58" s="535">
        <v>50</v>
      </c>
      <c r="AX58" s="536">
        <v>124.12</v>
      </c>
      <c r="AY58" s="529">
        <v>173.77</v>
      </c>
      <c r="BA58" s="535">
        <v>50</v>
      </c>
      <c r="BB58" s="536">
        <v>125.94</v>
      </c>
      <c r="BC58" s="529">
        <v>176.32</v>
      </c>
      <c r="BE58" s="535">
        <v>50</v>
      </c>
      <c r="BF58" s="536">
        <v>127.76</v>
      </c>
      <c r="BG58" s="529">
        <v>178.87</v>
      </c>
      <c r="BI58" s="535">
        <v>50</v>
      </c>
      <c r="BJ58" s="536">
        <v>129.58000000000001</v>
      </c>
      <c r="BK58" s="529">
        <v>181.41</v>
      </c>
    </row>
    <row r="59" spans="1:64" ht="23.25">
      <c r="A59" s="263">
        <v>51</v>
      </c>
      <c r="B59" s="1437">
        <f t="shared" si="0"/>
        <v>113.6</v>
      </c>
      <c r="C59" s="1438">
        <f t="shared" si="1"/>
        <v>159.04</v>
      </c>
      <c r="E59" s="1420">
        <v>51</v>
      </c>
      <c r="F59" s="1421">
        <v>106.17</v>
      </c>
      <c r="G59" s="1414">
        <v>148.63999999999999</v>
      </c>
      <c r="H59" s="1404"/>
      <c r="I59" s="1420">
        <v>51</v>
      </c>
      <c r="J59" s="1421">
        <v>108.03</v>
      </c>
      <c r="K59" s="1414">
        <v>151.24</v>
      </c>
      <c r="M59" s="535">
        <v>51</v>
      </c>
      <c r="N59" s="536">
        <v>109.89</v>
      </c>
      <c r="O59" s="529">
        <v>153.84</v>
      </c>
      <c r="Q59" s="535">
        <v>51</v>
      </c>
      <c r="R59" s="536">
        <v>111.74</v>
      </c>
      <c r="S59" s="529">
        <v>156.44</v>
      </c>
      <c r="U59" s="535">
        <v>51</v>
      </c>
      <c r="V59" s="536">
        <v>113.6</v>
      </c>
      <c r="W59" s="529">
        <v>159.04</v>
      </c>
      <c r="Y59" s="535">
        <v>51</v>
      </c>
      <c r="Z59" s="536">
        <v>115.46</v>
      </c>
      <c r="AA59" s="529">
        <v>161.63999999999999</v>
      </c>
      <c r="AC59" s="535">
        <v>51</v>
      </c>
      <c r="AD59" s="536">
        <v>117.31</v>
      </c>
      <c r="AE59" s="529">
        <v>164.24</v>
      </c>
      <c r="AG59" s="535">
        <v>51</v>
      </c>
      <c r="AH59" s="536">
        <v>119.17</v>
      </c>
      <c r="AI59" s="529">
        <v>166.84</v>
      </c>
      <c r="AK59" s="535">
        <v>51</v>
      </c>
      <c r="AL59" s="536">
        <v>121.03</v>
      </c>
      <c r="AM59" s="529">
        <v>169.44</v>
      </c>
      <c r="AO59" s="535">
        <v>51</v>
      </c>
      <c r="AP59" s="536">
        <v>122.88</v>
      </c>
      <c r="AQ59" s="529">
        <v>172.04</v>
      </c>
      <c r="AS59" s="535">
        <v>51</v>
      </c>
      <c r="AT59" s="536">
        <v>124.74</v>
      </c>
      <c r="AU59" s="529">
        <v>174.63</v>
      </c>
      <c r="AW59" s="535">
        <v>51</v>
      </c>
      <c r="AX59" s="536">
        <v>126.59</v>
      </c>
      <c r="AY59" s="529">
        <v>173.77</v>
      </c>
      <c r="BA59" s="535">
        <v>51</v>
      </c>
      <c r="BB59" s="536">
        <v>128.44999999999999</v>
      </c>
      <c r="BC59" s="529">
        <v>179.83</v>
      </c>
      <c r="BE59" s="535">
        <v>51</v>
      </c>
      <c r="BF59" s="536">
        <v>130.31</v>
      </c>
      <c r="BG59" s="529">
        <v>182.43</v>
      </c>
      <c r="BI59" s="535">
        <v>51</v>
      </c>
      <c r="BJ59" s="536">
        <v>132.16</v>
      </c>
      <c r="BK59" s="529">
        <v>185.03</v>
      </c>
    </row>
    <row r="60" spans="1:64" ht="23.25">
      <c r="A60" s="263">
        <v>52</v>
      </c>
      <c r="B60" s="1437">
        <f t="shared" si="0"/>
        <v>115.79</v>
      </c>
      <c r="C60" s="1438">
        <f t="shared" si="1"/>
        <v>162.1</v>
      </c>
      <c r="E60" s="1420">
        <v>52</v>
      </c>
      <c r="F60" s="1421">
        <v>108.22</v>
      </c>
      <c r="G60" s="1414">
        <v>151.5</v>
      </c>
      <c r="H60" s="1404"/>
      <c r="I60" s="1420">
        <v>52</v>
      </c>
      <c r="J60" s="1421">
        <v>110.11</v>
      </c>
      <c r="K60" s="1414">
        <v>154.15</v>
      </c>
      <c r="M60" s="535">
        <v>52</v>
      </c>
      <c r="N60" s="536">
        <v>112</v>
      </c>
      <c r="O60" s="529">
        <v>156.80000000000001</v>
      </c>
      <c r="Q60" s="535">
        <v>52</v>
      </c>
      <c r="R60" s="536">
        <v>113.9</v>
      </c>
      <c r="S60" s="529">
        <v>159.44999999999999</v>
      </c>
      <c r="U60" s="535">
        <v>52</v>
      </c>
      <c r="V60" s="536">
        <v>115.79</v>
      </c>
      <c r="W60" s="529">
        <v>162.1</v>
      </c>
      <c r="Y60" s="535">
        <v>52</v>
      </c>
      <c r="Z60" s="536">
        <v>117.68</v>
      </c>
      <c r="AA60" s="529">
        <v>164.75</v>
      </c>
      <c r="AC60" s="535">
        <v>52</v>
      </c>
      <c r="AD60" s="536">
        <v>119.57</v>
      </c>
      <c r="AE60" s="529">
        <v>167.4</v>
      </c>
      <c r="AG60" s="535">
        <v>52</v>
      </c>
      <c r="AH60" s="536">
        <v>121.47</v>
      </c>
      <c r="AI60" s="529">
        <v>170.05</v>
      </c>
      <c r="AK60" s="535">
        <v>52</v>
      </c>
      <c r="AL60" s="536">
        <v>123.36</v>
      </c>
      <c r="AM60" s="529">
        <v>172.7</v>
      </c>
      <c r="AO60" s="535">
        <v>52</v>
      </c>
      <c r="AP60" s="536">
        <v>125.25</v>
      </c>
      <c r="AQ60" s="529">
        <v>175.35</v>
      </c>
      <c r="AS60" s="535">
        <v>52</v>
      </c>
      <c r="AT60" s="536">
        <v>127.15</v>
      </c>
      <c r="AU60" s="529">
        <v>178</v>
      </c>
      <c r="AW60" s="535">
        <v>52</v>
      </c>
      <c r="AX60" s="536">
        <v>129.04</v>
      </c>
      <c r="AY60" s="529">
        <v>180.65</v>
      </c>
      <c r="BA60" s="535">
        <v>52</v>
      </c>
      <c r="BB60" s="536">
        <v>130.93</v>
      </c>
      <c r="BC60" s="529">
        <v>183.3</v>
      </c>
      <c r="BE60" s="535">
        <v>52</v>
      </c>
      <c r="BF60" s="536">
        <v>132.82</v>
      </c>
      <c r="BG60" s="529">
        <v>185.95</v>
      </c>
      <c r="BI60" s="535">
        <v>52</v>
      </c>
      <c r="BJ60" s="536">
        <v>134.72</v>
      </c>
      <c r="BK60" s="529">
        <v>188.6</v>
      </c>
    </row>
    <row r="61" spans="1:64" ht="23.25">
      <c r="A61" s="263">
        <v>53</v>
      </c>
      <c r="B61" s="1437">
        <f t="shared" si="0"/>
        <v>117.99</v>
      </c>
      <c r="C61" s="1438">
        <f t="shared" si="1"/>
        <v>165.19</v>
      </c>
      <c r="E61" s="1420">
        <v>53</v>
      </c>
      <c r="F61" s="1421">
        <v>110.28</v>
      </c>
      <c r="G61" s="1414">
        <v>154.38999999999999</v>
      </c>
      <c r="H61" s="1404"/>
      <c r="I61" s="1420">
        <v>53</v>
      </c>
      <c r="J61" s="1421">
        <v>112.21</v>
      </c>
      <c r="K61" s="1414">
        <v>157.09</v>
      </c>
      <c r="M61" s="535">
        <v>53</v>
      </c>
      <c r="N61" s="536">
        <v>114.13</v>
      </c>
      <c r="O61" s="529">
        <v>159.79</v>
      </c>
      <c r="Q61" s="535">
        <v>53</v>
      </c>
      <c r="R61" s="536">
        <v>116.06</v>
      </c>
      <c r="S61" s="529">
        <v>162.49</v>
      </c>
      <c r="U61" s="535">
        <v>53</v>
      </c>
      <c r="V61" s="536">
        <v>117.99</v>
      </c>
      <c r="W61" s="529">
        <v>165.19</v>
      </c>
      <c r="Y61" s="535">
        <v>53</v>
      </c>
      <c r="Z61" s="536">
        <v>119.92</v>
      </c>
      <c r="AA61" s="529">
        <v>167.89</v>
      </c>
      <c r="AC61" s="535">
        <v>53</v>
      </c>
      <c r="AD61" s="536">
        <v>212.85</v>
      </c>
      <c r="AE61" s="529">
        <v>170.59</v>
      </c>
      <c r="AG61" s="535">
        <v>53</v>
      </c>
      <c r="AH61" s="536">
        <v>123.78</v>
      </c>
      <c r="AI61" s="529">
        <v>173.29</v>
      </c>
      <c r="AK61" s="535">
        <v>53</v>
      </c>
      <c r="AL61" s="536">
        <v>125.71</v>
      </c>
      <c r="AM61" s="529">
        <v>175.99</v>
      </c>
      <c r="AO61" s="535">
        <v>53</v>
      </c>
      <c r="AP61" s="536">
        <v>127.64</v>
      </c>
      <c r="AQ61" s="529">
        <v>178.69</v>
      </c>
      <c r="AS61" s="535">
        <v>53</v>
      </c>
      <c r="AT61" s="536">
        <v>129.57</v>
      </c>
      <c r="AU61" s="529">
        <v>181.39</v>
      </c>
      <c r="AW61" s="535">
        <v>53</v>
      </c>
      <c r="AX61" s="536">
        <v>131.5</v>
      </c>
      <c r="AY61" s="529">
        <v>184.1</v>
      </c>
      <c r="BA61" s="535">
        <v>53</v>
      </c>
      <c r="BB61" s="536">
        <v>133.43</v>
      </c>
      <c r="BC61" s="529">
        <v>186.8</v>
      </c>
      <c r="BE61" s="535">
        <v>53</v>
      </c>
      <c r="BF61" s="536">
        <v>135.36000000000001</v>
      </c>
      <c r="BG61" s="529">
        <v>189.5</v>
      </c>
      <c r="BI61" s="535">
        <v>53</v>
      </c>
      <c r="BJ61" s="536">
        <v>137.28</v>
      </c>
      <c r="BK61" s="529">
        <v>192.2</v>
      </c>
    </row>
    <row r="62" spans="1:64" ht="23.25">
      <c r="A62" s="263">
        <v>54</v>
      </c>
      <c r="B62" s="1437">
        <f t="shared" si="0"/>
        <v>120.21</v>
      </c>
      <c r="C62" s="1438">
        <f t="shared" si="1"/>
        <v>168.3</v>
      </c>
      <c r="E62" s="1420">
        <v>54</v>
      </c>
      <c r="F62" s="1421">
        <v>112.35</v>
      </c>
      <c r="G62" s="1414">
        <v>157.29</v>
      </c>
      <c r="H62" s="1404"/>
      <c r="I62" s="1420">
        <v>54</v>
      </c>
      <c r="J62" s="1421">
        <v>114.32</v>
      </c>
      <c r="K62" s="1414">
        <v>160.04</v>
      </c>
      <c r="M62" s="535">
        <v>54</v>
      </c>
      <c r="N62" s="536">
        <v>116.28</v>
      </c>
      <c r="O62" s="529">
        <v>162.79</v>
      </c>
      <c r="Q62" s="535">
        <v>54</v>
      </c>
      <c r="R62" s="536">
        <v>118.25</v>
      </c>
      <c r="S62" s="529">
        <v>165.55</v>
      </c>
      <c r="U62" s="535">
        <v>54</v>
      </c>
      <c r="V62" s="536">
        <v>120.21</v>
      </c>
      <c r="W62" s="529">
        <v>168.3</v>
      </c>
      <c r="Y62" s="535">
        <v>54</v>
      </c>
      <c r="Z62" s="536">
        <v>122.18</v>
      </c>
      <c r="AA62" s="529">
        <v>171.05</v>
      </c>
      <c r="AC62" s="535">
        <v>54</v>
      </c>
      <c r="AD62" s="536">
        <v>124.14</v>
      </c>
      <c r="AE62" s="529">
        <v>173.8</v>
      </c>
      <c r="AG62" s="535">
        <v>54</v>
      </c>
      <c r="AH62" s="536">
        <v>126.11</v>
      </c>
      <c r="AI62" s="529">
        <v>176.55</v>
      </c>
      <c r="AK62" s="535">
        <v>54</v>
      </c>
      <c r="AL62" s="536">
        <v>128.08000000000001</v>
      </c>
      <c r="AM62" s="529">
        <v>179.31</v>
      </c>
      <c r="AO62" s="535">
        <v>54</v>
      </c>
      <c r="AP62" s="536">
        <v>130.04</v>
      </c>
      <c r="AQ62" s="529">
        <v>182.06</v>
      </c>
      <c r="AS62" s="535">
        <v>54</v>
      </c>
      <c r="AT62" s="536">
        <v>132.01</v>
      </c>
      <c r="AU62" s="529">
        <v>184.81</v>
      </c>
      <c r="AW62" s="535">
        <v>54</v>
      </c>
      <c r="AX62" s="536">
        <v>133.97</v>
      </c>
      <c r="AY62" s="529">
        <v>187.56</v>
      </c>
      <c r="BA62" s="535">
        <v>54</v>
      </c>
      <c r="BB62" s="536">
        <v>135.94</v>
      </c>
      <c r="BC62" s="529">
        <v>190.31</v>
      </c>
      <c r="BE62" s="535">
        <v>54</v>
      </c>
      <c r="BF62" s="536">
        <v>137.9</v>
      </c>
      <c r="BG62" s="529">
        <v>193.06</v>
      </c>
      <c r="BI62" s="535">
        <v>54</v>
      </c>
      <c r="BJ62" s="536">
        <v>139.87</v>
      </c>
      <c r="BK62" s="529">
        <v>195.82</v>
      </c>
    </row>
    <row r="63" spans="1:64" ht="23.25">
      <c r="A63" s="263">
        <v>55</v>
      </c>
      <c r="B63" s="1437">
        <f t="shared" si="0"/>
        <v>122.4</v>
      </c>
      <c r="C63" s="1438">
        <f t="shared" si="1"/>
        <v>171.36</v>
      </c>
      <c r="E63" s="1420">
        <v>55</v>
      </c>
      <c r="F63" s="1421">
        <v>114.39</v>
      </c>
      <c r="G63" s="1414">
        <v>160.13999999999999</v>
      </c>
      <c r="H63" s="1404"/>
      <c r="I63" s="1420">
        <v>55</v>
      </c>
      <c r="J63" s="1421">
        <v>116.39</v>
      </c>
      <c r="K63" s="1414">
        <v>162.94999999999999</v>
      </c>
      <c r="M63" s="535">
        <v>55</v>
      </c>
      <c r="N63" s="536">
        <v>118.39</v>
      </c>
      <c r="O63" s="529">
        <v>165.75</v>
      </c>
      <c r="Q63" s="535">
        <v>55</v>
      </c>
      <c r="R63" s="536">
        <v>120.4</v>
      </c>
      <c r="S63" s="529">
        <v>168.55</v>
      </c>
      <c r="U63" s="535">
        <v>55</v>
      </c>
      <c r="V63" s="536">
        <v>122.4</v>
      </c>
      <c r="W63" s="529">
        <v>171.36</v>
      </c>
      <c r="Y63" s="535">
        <v>55</v>
      </c>
      <c r="Z63" s="536">
        <v>124.4</v>
      </c>
      <c r="AA63" s="529">
        <v>174.16</v>
      </c>
      <c r="AC63" s="535">
        <v>55</v>
      </c>
      <c r="AD63" s="536">
        <v>126.4</v>
      </c>
      <c r="AE63" s="529">
        <v>176.96</v>
      </c>
      <c r="AG63" s="535">
        <v>55</v>
      </c>
      <c r="AH63" s="536">
        <v>128.4</v>
      </c>
      <c r="AI63" s="529">
        <v>179.76</v>
      </c>
      <c r="AK63" s="535">
        <v>55</v>
      </c>
      <c r="AL63" s="536">
        <v>130.41</v>
      </c>
      <c r="AM63" s="529">
        <v>182.57</v>
      </c>
      <c r="AO63" s="535">
        <v>55</v>
      </c>
      <c r="AP63" s="536">
        <v>132.41</v>
      </c>
      <c r="AQ63" s="529">
        <v>185.37</v>
      </c>
      <c r="AS63" s="535">
        <v>55</v>
      </c>
      <c r="AT63" s="536">
        <v>134.41</v>
      </c>
      <c r="AU63" s="529">
        <v>188.17</v>
      </c>
      <c r="AW63" s="535">
        <v>55</v>
      </c>
      <c r="AX63" s="536">
        <v>136.41</v>
      </c>
      <c r="AY63" s="529">
        <v>190.98</v>
      </c>
      <c r="BA63" s="535">
        <v>55</v>
      </c>
      <c r="BB63" s="536">
        <v>138.41</v>
      </c>
      <c r="BC63" s="529">
        <v>193.78</v>
      </c>
      <c r="BE63" s="535">
        <v>55</v>
      </c>
      <c r="BF63" s="536">
        <v>140.41999999999999</v>
      </c>
      <c r="BG63" s="529">
        <v>196.58</v>
      </c>
      <c r="BI63" s="535">
        <v>55</v>
      </c>
      <c r="BJ63" s="536">
        <v>142.41999999999999</v>
      </c>
      <c r="BK63" s="529">
        <v>199.38</v>
      </c>
    </row>
    <row r="64" spans="1:64" ht="23.25">
      <c r="A64" s="263">
        <v>56</v>
      </c>
      <c r="B64" s="1437">
        <f t="shared" si="0"/>
        <v>124.6</v>
      </c>
      <c r="C64" s="1438">
        <f t="shared" si="1"/>
        <v>174.43</v>
      </c>
      <c r="E64" s="1420">
        <v>56</v>
      </c>
      <c r="F64" s="1421">
        <v>116.44</v>
      </c>
      <c r="G64" s="1414">
        <v>163.02000000000001</v>
      </c>
      <c r="H64" s="1404"/>
      <c r="I64" s="1420">
        <v>56</v>
      </c>
      <c r="J64" s="1421">
        <v>118.48</v>
      </c>
      <c r="K64" s="1414">
        <v>165.87</v>
      </c>
      <c r="M64" s="535">
        <v>56</v>
      </c>
      <c r="N64" s="536">
        <v>120.52</v>
      </c>
      <c r="O64" s="529">
        <v>168.73</v>
      </c>
      <c r="Q64" s="535">
        <v>56</v>
      </c>
      <c r="R64" s="536">
        <v>122.56</v>
      </c>
      <c r="S64" s="529">
        <v>171.58</v>
      </c>
      <c r="U64" s="535">
        <v>56</v>
      </c>
      <c r="V64" s="536">
        <v>124.6</v>
      </c>
      <c r="W64" s="529">
        <v>174.43</v>
      </c>
      <c r="Y64" s="535">
        <v>56</v>
      </c>
      <c r="Z64" s="536">
        <v>126.63</v>
      </c>
      <c r="AA64" s="529">
        <v>177.29</v>
      </c>
      <c r="AC64" s="535">
        <v>56</v>
      </c>
      <c r="AD64" s="536">
        <v>128.66999999999999</v>
      </c>
      <c r="AE64" s="529">
        <v>180.14</v>
      </c>
      <c r="AG64" s="535">
        <v>56</v>
      </c>
      <c r="AH64" s="536">
        <v>130.71</v>
      </c>
      <c r="AI64" s="529">
        <v>183</v>
      </c>
      <c r="AK64" s="535">
        <v>56</v>
      </c>
      <c r="AL64" s="536">
        <v>132.75</v>
      </c>
      <c r="AM64" s="529">
        <v>185.85</v>
      </c>
      <c r="AO64" s="535">
        <v>56</v>
      </c>
      <c r="AP64" s="536">
        <v>134.79</v>
      </c>
      <c r="AQ64" s="529">
        <v>188.7</v>
      </c>
      <c r="AS64" s="535">
        <v>56</v>
      </c>
      <c r="AT64" s="536">
        <v>136.83000000000001</v>
      </c>
      <c r="AU64" s="529">
        <v>191.56</v>
      </c>
      <c r="AW64" s="535">
        <v>56</v>
      </c>
      <c r="AX64" s="536">
        <v>138.86000000000001</v>
      </c>
      <c r="AY64" s="529">
        <v>194.41</v>
      </c>
      <c r="BA64" s="535">
        <v>56</v>
      </c>
      <c r="BB64" s="536">
        <v>140.9</v>
      </c>
      <c r="BC64" s="529">
        <v>197.26</v>
      </c>
      <c r="BE64" s="535">
        <v>56</v>
      </c>
      <c r="BF64" s="536">
        <v>142.94</v>
      </c>
      <c r="BG64" s="529">
        <v>200.12</v>
      </c>
      <c r="BI64" s="535">
        <v>56</v>
      </c>
      <c r="BJ64" s="536">
        <v>144.97999999999999</v>
      </c>
      <c r="BK64" s="529">
        <v>202.97</v>
      </c>
    </row>
    <row r="65" spans="1:63" ht="23.25">
      <c r="A65" s="263">
        <v>57</v>
      </c>
      <c r="B65" s="1437">
        <f t="shared" si="0"/>
        <v>126.81</v>
      </c>
      <c r="C65" s="1438">
        <f t="shared" si="1"/>
        <v>177.53</v>
      </c>
      <c r="E65" s="1420">
        <v>57</v>
      </c>
      <c r="F65" s="1421">
        <v>118.51</v>
      </c>
      <c r="G65" s="1414">
        <v>165.91</v>
      </c>
      <c r="H65" s="1404"/>
      <c r="I65" s="1420">
        <v>57</v>
      </c>
      <c r="J65" s="1421">
        <v>120.59</v>
      </c>
      <c r="K65" s="1414">
        <v>168.82</v>
      </c>
      <c r="M65" s="535">
        <v>57</v>
      </c>
      <c r="N65" s="536">
        <v>122.66</v>
      </c>
      <c r="O65" s="529">
        <v>171.72</v>
      </c>
      <c r="Q65" s="535">
        <v>57</v>
      </c>
      <c r="R65" s="536">
        <v>124.73</v>
      </c>
      <c r="S65" s="529">
        <v>174.63</v>
      </c>
      <c r="U65" s="535">
        <v>57</v>
      </c>
      <c r="V65" s="536">
        <v>126.81</v>
      </c>
      <c r="W65" s="529">
        <v>177.53</v>
      </c>
      <c r="Y65" s="535">
        <v>57</v>
      </c>
      <c r="Z65" s="536">
        <v>128.88</v>
      </c>
      <c r="AA65" s="529">
        <v>180.44</v>
      </c>
      <c r="AC65" s="535">
        <v>57</v>
      </c>
      <c r="AD65" s="536">
        <v>130.96</v>
      </c>
      <c r="AE65" s="529">
        <v>183.34</v>
      </c>
      <c r="AG65" s="535">
        <v>57</v>
      </c>
      <c r="AH65" s="536">
        <v>133.03</v>
      </c>
      <c r="AI65" s="529">
        <v>186.25</v>
      </c>
      <c r="AK65" s="535">
        <v>57</v>
      </c>
      <c r="AL65" s="536">
        <v>135.11000000000001</v>
      </c>
      <c r="AM65" s="529">
        <v>189.15</v>
      </c>
      <c r="AO65" s="535">
        <v>57</v>
      </c>
      <c r="AP65" s="536">
        <v>137.18</v>
      </c>
      <c r="AQ65" s="529">
        <v>192.06</v>
      </c>
      <c r="AS65" s="535">
        <v>57</v>
      </c>
      <c r="AT65" s="536">
        <v>139.26</v>
      </c>
      <c r="AU65" s="529">
        <v>194.96</v>
      </c>
      <c r="AW65" s="535">
        <v>57</v>
      </c>
      <c r="AX65" s="536">
        <v>141.33000000000001</v>
      </c>
      <c r="AY65" s="529">
        <v>197.87</v>
      </c>
      <c r="BA65" s="535">
        <v>57</v>
      </c>
      <c r="BB65" s="536">
        <v>143.41</v>
      </c>
      <c r="BC65" s="529">
        <v>200.77</v>
      </c>
      <c r="BE65" s="535">
        <v>57</v>
      </c>
      <c r="BF65" s="536">
        <v>145.47999999999999</v>
      </c>
      <c r="BG65" s="529">
        <v>203.68</v>
      </c>
      <c r="BI65" s="535">
        <v>57</v>
      </c>
      <c r="BJ65" s="536">
        <v>147.56</v>
      </c>
      <c r="BK65" s="529">
        <v>206.58</v>
      </c>
    </row>
    <row r="66" spans="1:63" ht="23.25">
      <c r="A66" s="263">
        <v>58</v>
      </c>
      <c r="B66" s="1437">
        <f t="shared" si="0"/>
        <v>129.04</v>
      </c>
      <c r="C66" s="1438">
        <f t="shared" si="1"/>
        <v>180.66</v>
      </c>
      <c r="E66" s="1420">
        <v>58</v>
      </c>
      <c r="F66" s="1421">
        <v>120.59</v>
      </c>
      <c r="G66" s="1414">
        <v>168.83</v>
      </c>
      <c r="H66" s="1404"/>
      <c r="I66" s="1420">
        <v>58</v>
      </c>
      <c r="J66" s="1421">
        <v>122.71</v>
      </c>
      <c r="K66" s="1414">
        <v>171.79</v>
      </c>
      <c r="M66" s="535">
        <v>58</v>
      </c>
      <c r="N66" s="536">
        <v>124.82</v>
      </c>
      <c r="O66" s="529">
        <v>174.74</v>
      </c>
      <c r="Q66" s="535">
        <v>58</v>
      </c>
      <c r="R66" s="536">
        <v>126.93</v>
      </c>
      <c r="S66" s="529">
        <v>177.7</v>
      </c>
      <c r="U66" s="535">
        <v>58</v>
      </c>
      <c r="V66" s="536">
        <v>129.04</v>
      </c>
      <c r="W66" s="529">
        <v>180.66</v>
      </c>
      <c r="Y66" s="535">
        <v>58</v>
      </c>
      <c r="Z66" s="536">
        <v>131.15</v>
      </c>
      <c r="AA66" s="529">
        <v>183.61</v>
      </c>
      <c r="AC66" s="535">
        <v>58</v>
      </c>
      <c r="AD66" s="536">
        <v>133.26</v>
      </c>
      <c r="AE66" s="529">
        <v>186.57</v>
      </c>
      <c r="AG66" s="535">
        <v>58</v>
      </c>
      <c r="AH66" s="536">
        <v>135.37</v>
      </c>
      <c r="AI66" s="529">
        <v>189.52</v>
      </c>
      <c r="AK66" s="535">
        <v>58</v>
      </c>
      <c r="AL66" s="536">
        <v>137.47999999999999</v>
      </c>
      <c r="AM66" s="529">
        <v>192.48</v>
      </c>
      <c r="AO66" s="535">
        <v>58</v>
      </c>
      <c r="AP66" s="536">
        <v>139.6</v>
      </c>
      <c r="AQ66" s="529">
        <v>195.43</v>
      </c>
      <c r="AS66" s="535">
        <v>58</v>
      </c>
      <c r="AT66" s="536">
        <v>141.71</v>
      </c>
      <c r="AU66" s="529">
        <v>198.39</v>
      </c>
      <c r="AW66" s="535">
        <v>58</v>
      </c>
      <c r="AX66" s="536">
        <v>143.82</v>
      </c>
      <c r="AY66" s="529">
        <v>201.35</v>
      </c>
      <c r="BA66" s="535">
        <v>58</v>
      </c>
      <c r="BB66" s="536">
        <v>145.93</v>
      </c>
      <c r="BC66" s="529">
        <v>204.3</v>
      </c>
      <c r="BE66" s="535">
        <v>58</v>
      </c>
      <c r="BF66" s="536">
        <v>148.04</v>
      </c>
      <c r="BG66" s="529">
        <v>207.26</v>
      </c>
      <c r="BI66" s="535">
        <v>58</v>
      </c>
      <c r="BJ66" s="536">
        <v>150.15</v>
      </c>
      <c r="BK66" s="529">
        <v>210.21</v>
      </c>
    </row>
    <row r="67" spans="1:63" ht="23.25">
      <c r="A67" s="263">
        <v>59</v>
      </c>
      <c r="B67" s="1437">
        <f t="shared" si="0"/>
        <v>131.22</v>
      </c>
      <c r="C67" s="1438">
        <f t="shared" si="1"/>
        <v>183.71</v>
      </c>
      <c r="E67" s="1420">
        <v>59</v>
      </c>
      <c r="F67" s="1421">
        <v>122.63</v>
      </c>
      <c r="G67" s="1414">
        <v>171.69</v>
      </c>
      <c r="H67" s="1404"/>
      <c r="I67" s="1420">
        <v>59</v>
      </c>
      <c r="J67" s="1421">
        <v>124.78</v>
      </c>
      <c r="K67" s="1414">
        <v>174.69</v>
      </c>
      <c r="M67" s="535">
        <v>59</v>
      </c>
      <c r="N67" s="536">
        <v>126.93</v>
      </c>
      <c r="O67" s="529">
        <v>177.7</v>
      </c>
      <c r="Q67" s="535">
        <v>59</v>
      </c>
      <c r="R67" s="536">
        <v>129.08000000000001</v>
      </c>
      <c r="S67" s="529">
        <v>180.71</v>
      </c>
      <c r="U67" s="535">
        <v>59</v>
      </c>
      <c r="V67" s="536">
        <v>131.22</v>
      </c>
      <c r="W67" s="529">
        <v>183.71</v>
      </c>
      <c r="Y67" s="535">
        <v>59</v>
      </c>
      <c r="Z67" s="536">
        <v>133.37</v>
      </c>
      <c r="AA67" s="529">
        <v>186.72</v>
      </c>
      <c r="AC67" s="535">
        <v>59</v>
      </c>
      <c r="AD67" s="536">
        <v>135.52000000000001</v>
      </c>
      <c r="AE67" s="529">
        <v>189.73</v>
      </c>
      <c r="AG67" s="535">
        <v>59</v>
      </c>
      <c r="AH67" s="536">
        <v>137.66999999999999</v>
      </c>
      <c r="AI67" s="529">
        <v>192.73</v>
      </c>
      <c r="AK67" s="535">
        <v>59</v>
      </c>
      <c r="AL67" s="536">
        <v>139.82</v>
      </c>
      <c r="AM67" s="529">
        <v>195.74</v>
      </c>
      <c r="AO67" s="535">
        <v>59</v>
      </c>
      <c r="AP67" s="536">
        <v>141.96</v>
      </c>
      <c r="AQ67" s="529">
        <v>198.75</v>
      </c>
      <c r="AS67" s="535">
        <v>59</v>
      </c>
      <c r="AT67" s="536">
        <v>144.11000000000001</v>
      </c>
      <c r="AU67" s="529">
        <v>201.75</v>
      </c>
      <c r="AW67" s="535">
        <v>59</v>
      </c>
      <c r="AX67" s="536">
        <v>146.26</v>
      </c>
      <c r="AY67" s="529">
        <v>204.76</v>
      </c>
      <c r="BA67" s="535">
        <v>59</v>
      </c>
      <c r="BB67" s="536">
        <v>148.41</v>
      </c>
      <c r="BC67" s="529">
        <v>207.77</v>
      </c>
      <c r="BE67" s="535">
        <v>59</v>
      </c>
      <c r="BF67" s="536">
        <v>150.55000000000001</v>
      </c>
      <c r="BG67" s="529">
        <v>210.77</v>
      </c>
      <c r="BI67" s="535">
        <v>59</v>
      </c>
      <c r="BJ67" s="536">
        <v>152.69999999999999</v>
      </c>
      <c r="BK67" s="529">
        <v>213.78</v>
      </c>
    </row>
    <row r="68" spans="1:63" ht="23.25">
      <c r="A68" s="263">
        <v>60</v>
      </c>
      <c r="B68" s="1437">
        <f t="shared" si="0"/>
        <v>133.41999999999999</v>
      </c>
      <c r="C68" s="1438">
        <f t="shared" si="1"/>
        <v>186.79</v>
      </c>
      <c r="E68" s="1420">
        <v>60</v>
      </c>
      <c r="F68" s="1421">
        <v>124.69</v>
      </c>
      <c r="G68" s="1414">
        <v>174.56</v>
      </c>
      <c r="H68" s="1404"/>
      <c r="I68" s="1420">
        <v>60</v>
      </c>
      <c r="J68" s="1421">
        <v>126.87</v>
      </c>
      <c r="K68" s="1414">
        <v>177.62</v>
      </c>
      <c r="M68" s="535">
        <v>60</v>
      </c>
      <c r="N68" s="536">
        <v>129.06</v>
      </c>
      <c r="O68" s="529">
        <v>180.68</v>
      </c>
      <c r="Q68" s="535">
        <v>60</v>
      </c>
      <c r="R68" s="536">
        <v>131.24</v>
      </c>
      <c r="S68" s="529">
        <v>183.74</v>
      </c>
      <c r="U68" s="535">
        <v>60</v>
      </c>
      <c r="V68" s="536">
        <v>133.41999999999999</v>
      </c>
      <c r="W68" s="529">
        <v>186.79</v>
      </c>
      <c r="Y68" s="535">
        <v>60</v>
      </c>
      <c r="Z68" s="536">
        <v>135.61000000000001</v>
      </c>
      <c r="AA68" s="529">
        <v>189.85</v>
      </c>
      <c r="AC68" s="535">
        <v>60</v>
      </c>
      <c r="AD68" s="536">
        <v>137.79</v>
      </c>
      <c r="AE68" s="529">
        <v>192.91</v>
      </c>
      <c r="AG68" s="535">
        <v>60</v>
      </c>
      <c r="AH68" s="536">
        <v>139.97999999999999</v>
      </c>
      <c r="AI68" s="529">
        <v>195.97</v>
      </c>
      <c r="AK68" s="535">
        <v>60</v>
      </c>
      <c r="AL68" s="536">
        <v>142.16</v>
      </c>
      <c r="AM68" s="529">
        <v>199.02</v>
      </c>
      <c r="AO68" s="535">
        <v>60</v>
      </c>
      <c r="AP68" s="536">
        <v>144.34</v>
      </c>
      <c r="AQ68" s="529">
        <v>202.08</v>
      </c>
      <c r="AS68" s="535">
        <v>60</v>
      </c>
      <c r="AT68" s="536">
        <v>146.53</v>
      </c>
      <c r="AU68" s="529">
        <v>205.14</v>
      </c>
      <c r="AW68" s="535">
        <v>60</v>
      </c>
      <c r="AX68" s="536">
        <v>148.71</v>
      </c>
      <c r="AY68" s="529">
        <v>208.2</v>
      </c>
      <c r="BA68" s="535">
        <v>60</v>
      </c>
      <c r="BB68" s="536">
        <v>150.9</v>
      </c>
      <c r="BC68" s="529">
        <v>211.25</v>
      </c>
      <c r="BE68" s="535">
        <v>60</v>
      </c>
      <c r="BF68" s="536">
        <v>153.08000000000001</v>
      </c>
      <c r="BG68" s="529">
        <v>214.31</v>
      </c>
      <c r="BI68" s="535">
        <v>60</v>
      </c>
      <c r="BJ68" s="536">
        <v>155.26</v>
      </c>
      <c r="BK68" s="529">
        <v>217.37</v>
      </c>
    </row>
    <row r="69" spans="1:63" ht="23.25">
      <c r="A69" s="263">
        <v>61</v>
      </c>
      <c r="B69" s="1437">
        <f t="shared" si="0"/>
        <v>135.63999999999999</v>
      </c>
      <c r="C69" s="1438">
        <f t="shared" si="1"/>
        <v>189.89</v>
      </c>
      <c r="E69" s="1420">
        <v>61</v>
      </c>
      <c r="F69" s="1421">
        <v>126.75</v>
      </c>
      <c r="G69" s="1414">
        <v>177.46</v>
      </c>
      <c r="H69" s="1404"/>
      <c r="I69" s="1420">
        <v>61</v>
      </c>
      <c r="J69" s="1421">
        <v>128.97999999999999</v>
      </c>
      <c r="K69" s="1414">
        <v>180.57</v>
      </c>
      <c r="M69" s="535">
        <v>61</v>
      </c>
      <c r="N69" s="536">
        <v>131.19999999999999</v>
      </c>
      <c r="O69" s="529">
        <v>183.67</v>
      </c>
      <c r="Q69" s="535">
        <v>61</v>
      </c>
      <c r="R69" s="536">
        <v>133.41999999999999</v>
      </c>
      <c r="S69" s="529">
        <v>186.78</v>
      </c>
      <c r="U69" s="535">
        <v>61</v>
      </c>
      <c r="V69" s="536">
        <v>135.63999999999999</v>
      </c>
      <c r="W69" s="529">
        <v>189.89</v>
      </c>
      <c r="Y69" s="535">
        <v>61</v>
      </c>
      <c r="Z69" s="536">
        <v>137.86000000000001</v>
      </c>
      <c r="AA69" s="529">
        <v>193</v>
      </c>
      <c r="AC69" s="535">
        <v>61</v>
      </c>
      <c r="AD69" s="536">
        <v>140.08000000000001</v>
      </c>
      <c r="AE69" s="529">
        <v>196.11</v>
      </c>
      <c r="AG69" s="535">
        <v>61</v>
      </c>
      <c r="AH69" s="536">
        <v>142.30000000000001</v>
      </c>
      <c r="AI69" s="529">
        <v>199.22</v>
      </c>
      <c r="AK69" s="535">
        <v>61</v>
      </c>
      <c r="AL69" s="536">
        <v>144.52000000000001</v>
      </c>
      <c r="AM69" s="529">
        <v>202.33</v>
      </c>
      <c r="AO69" s="535">
        <v>61</v>
      </c>
      <c r="AP69" s="536">
        <v>146.74</v>
      </c>
      <c r="AQ69" s="529">
        <v>205.43</v>
      </c>
      <c r="AS69" s="535">
        <v>61</v>
      </c>
      <c r="AT69" s="536">
        <v>148.96</v>
      </c>
      <c r="AU69" s="529">
        <v>208.54</v>
      </c>
      <c r="AW69" s="535">
        <v>61</v>
      </c>
      <c r="AX69" s="536">
        <v>151.18</v>
      </c>
      <c r="AY69" s="529">
        <v>211.65</v>
      </c>
      <c r="BA69" s="535">
        <v>61</v>
      </c>
      <c r="BB69" s="536">
        <v>153.4</v>
      </c>
      <c r="BC69" s="529">
        <v>214.76</v>
      </c>
      <c r="BE69" s="535">
        <v>61</v>
      </c>
      <c r="BF69" s="536">
        <v>155.62</v>
      </c>
      <c r="BG69" s="529">
        <v>217.87</v>
      </c>
      <c r="BI69" s="535">
        <v>61</v>
      </c>
      <c r="BJ69" s="536">
        <v>157.84</v>
      </c>
      <c r="BK69" s="529">
        <v>220.98</v>
      </c>
    </row>
    <row r="70" spans="1:63" ht="23.25">
      <c r="A70" s="263">
        <v>62</v>
      </c>
      <c r="B70" s="1437">
        <f t="shared" si="0"/>
        <v>137.86000000000001</v>
      </c>
      <c r="C70" s="1438">
        <f t="shared" si="1"/>
        <v>193.01</v>
      </c>
      <c r="E70" s="1420">
        <v>62</v>
      </c>
      <c r="F70" s="1421">
        <v>128.84</v>
      </c>
      <c r="G70" s="1414">
        <v>180.37</v>
      </c>
      <c r="H70" s="1404"/>
      <c r="I70" s="1420">
        <v>62</v>
      </c>
      <c r="J70" s="1421">
        <v>131.09</v>
      </c>
      <c r="K70" s="1414">
        <v>183.53</v>
      </c>
      <c r="M70" s="535">
        <v>62</v>
      </c>
      <c r="N70" s="536">
        <v>133.35</v>
      </c>
      <c r="O70" s="529">
        <v>186.69</v>
      </c>
      <c r="Q70" s="535">
        <v>62</v>
      </c>
      <c r="R70" s="536">
        <v>135.61000000000001</v>
      </c>
      <c r="S70" s="529">
        <v>189.85</v>
      </c>
      <c r="U70" s="535">
        <v>62</v>
      </c>
      <c r="V70" s="536">
        <v>137.86000000000001</v>
      </c>
      <c r="W70" s="529">
        <v>193.01</v>
      </c>
      <c r="Y70" s="535">
        <v>62</v>
      </c>
      <c r="Z70" s="536">
        <v>140.12</v>
      </c>
      <c r="AA70" s="529">
        <v>196.17</v>
      </c>
      <c r="AC70" s="535">
        <v>62</v>
      </c>
      <c r="AD70" s="536">
        <v>142.38</v>
      </c>
      <c r="AE70" s="529">
        <v>199.33</v>
      </c>
      <c r="AG70" s="535">
        <v>62</v>
      </c>
      <c r="AH70" s="536">
        <v>144.63</v>
      </c>
      <c r="AI70" s="529">
        <v>202.49</v>
      </c>
      <c r="AK70" s="535">
        <v>62</v>
      </c>
      <c r="AL70" s="536">
        <v>146.88999999999999</v>
      </c>
      <c r="AM70" s="529">
        <v>205.65</v>
      </c>
      <c r="AO70" s="535">
        <v>62</v>
      </c>
      <c r="AP70" s="536">
        <v>149.15</v>
      </c>
      <c r="AQ70" s="529">
        <v>208.81</v>
      </c>
      <c r="AS70" s="535">
        <v>62</v>
      </c>
      <c r="AT70" s="536">
        <v>151.41</v>
      </c>
      <c r="AU70" s="529">
        <v>211.97</v>
      </c>
      <c r="AW70" s="535">
        <v>62</v>
      </c>
      <c r="AX70" s="536">
        <v>153.66</v>
      </c>
      <c r="AY70" s="529">
        <v>215.13</v>
      </c>
      <c r="BA70" s="535">
        <v>62</v>
      </c>
      <c r="BB70" s="536">
        <v>155.91999999999999</v>
      </c>
      <c r="BC70" s="529">
        <v>218.29</v>
      </c>
      <c r="BE70" s="535">
        <v>62</v>
      </c>
      <c r="BF70" s="536">
        <v>158.18</v>
      </c>
      <c r="BG70" s="529">
        <v>221.45</v>
      </c>
      <c r="BI70" s="535">
        <v>62</v>
      </c>
      <c r="BJ70" s="536">
        <v>160.43</v>
      </c>
      <c r="BK70" s="529">
        <v>224.61</v>
      </c>
    </row>
    <row r="71" spans="1:63" ht="23.25">
      <c r="A71" s="263">
        <v>63</v>
      </c>
      <c r="B71" s="1437">
        <f t="shared" si="0"/>
        <v>140.04</v>
      </c>
      <c r="C71" s="1438">
        <f t="shared" si="1"/>
        <v>196.05</v>
      </c>
      <c r="E71" s="1420">
        <v>63</v>
      </c>
      <c r="F71" s="1421">
        <v>130.87</v>
      </c>
      <c r="G71" s="1414">
        <v>183.21</v>
      </c>
      <c r="H71" s="1404"/>
      <c r="I71" s="1420">
        <v>63</v>
      </c>
      <c r="J71" s="1421">
        <v>133.16</v>
      </c>
      <c r="K71" s="1414">
        <v>186.42</v>
      </c>
      <c r="M71" s="535">
        <v>63</v>
      </c>
      <c r="N71" s="536">
        <v>135.44999999999999</v>
      </c>
      <c r="O71" s="529">
        <v>189.63</v>
      </c>
      <c r="Q71" s="535">
        <v>63</v>
      </c>
      <c r="R71" s="536">
        <v>137.75</v>
      </c>
      <c r="S71" s="529">
        <v>192.84</v>
      </c>
      <c r="U71" s="535">
        <v>63</v>
      </c>
      <c r="V71" s="536">
        <v>140.04</v>
      </c>
      <c r="W71" s="529">
        <v>196.05</v>
      </c>
      <c r="Y71" s="535">
        <v>63</v>
      </c>
      <c r="Z71" s="536">
        <v>142.33000000000001</v>
      </c>
      <c r="AA71" s="529">
        <v>199.26</v>
      </c>
      <c r="AC71" s="535">
        <v>63</v>
      </c>
      <c r="AD71" s="536">
        <v>144.62</v>
      </c>
      <c r="AE71" s="529">
        <v>202.47</v>
      </c>
      <c r="AG71" s="535">
        <v>63</v>
      </c>
      <c r="AH71" s="536">
        <v>146.91999999999999</v>
      </c>
      <c r="AI71" s="529">
        <v>205.68</v>
      </c>
      <c r="AK71" s="535">
        <v>63</v>
      </c>
      <c r="AL71" s="536">
        <v>149.21</v>
      </c>
      <c r="AM71" s="529">
        <v>208.9</v>
      </c>
      <c r="AO71" s="535">
        <v>63</v>
      </c>
      <c r="AP71" s="536">
        <v>151.5</v>
      </c>
      <c r="AQ71" s="529">
        <v>212.11</v>
      </c>
      <c r="AS71" s="535">
        <v>63</v>
      </c>
      <c r="AT71" s="536">
        <v>153.80000000000001</v>
      </c>
      <c r="AU71" s="529">
        <v>215.32</v>
      </c>
      <c r="AW71" s="535">
        <v>63</v>
      </c>
      <c r="AX71" s="536">
        <v>156.09</v>
      </c>
      <c r="AY71" s="529">
        <v>218.53</v>
      </c>
      <c r="BA71" s="535">
        <v>63</v>
      </c>
      <c r="BB71" s="536">
        <v>158.38</v>
      </c>
      <c r="BC71" s="529">
        <v>221.74</v>
      </c>
      <c r="BE71" s="535">
        <v>63</v>
      </c>
      <c r="BF71" s="536">
        <v>160.68</v>
      </c>
      <c r="BG71" s="529">
        <v>224.95</v>
      </c>
      <c r="BI71" s="535">
        <v>63</v>
      </c>
      <c r="BJ71" s="536">
        <v>162.97</v>
      </c>
      <c r="BK71" s="529">
        <v>228.16</v>
      </c>
    </row>
    <row r="72" spans="1:63" ht="23.25">
      <c r="A72" s="263">
        <v>64</v>
      </c>
      <c r="B72" s="1437">
        <f t="shared" si="0"/>
        <v>142.22</v>
      </c>
      <c r="C72" s="1438">
        <f t="shared" si="1"/>
        <v>199.11</v>
      </c>
      <c r="E72" s="1420">
        <v>64</v>
      </c>
      <c r="F72" s="1421">
        <v>132.91</v>
      </c>
      <c r="G72" s="1414">
        <v>186.07</v>
      </c>
      <c r="H72" s="1404"/>
      <c r="I72" s="1420">
        <v>64</v>
      </c>
      <c r="J72" s="1421">
        <v>135.24</v>
      </c>
      <c r="K72" s="1414">
        <v>189.33</v>
      </c>
      <c r="M72" s="535">
        <v>64</v>
      </c>
      <c r="N72" s="536">
        <v>137.56</v>
      </c>
      <c r="O72" s="529">
        <v>192.59</v>
      </c>
      <c r="Q72" s="535">
        <v>64</v>
      </c>
      <c r="R72" s="536">
        <v>139.88999999999999</v>
      </c>
      <c r="S72" s="529">
        <v>195.85</v>
      </c>
      <c r="U72" s="535">
        <v>64</v>
      </c>
      <c r="V72" s="536">
        <v>142.22</v>
      </c>
      <c r="W72" s="529">
        <v>199.11</v>
      </c>
      <c r="Y72" s="535">
        <v>64</v>
      </c>
      <c r="Z72" s="536">
        <v>144.55000000000001</v>
      </c>
      <c r="AA72" s="529">
        <v>202.38</v>
      </c>
      <c r="AC72" s="535">
        <v>64</v>
      </c>
      <c r="AD72" s="536">
        <v>146.88</v>
      </c>
      <c r="AE72" s="529">
        <v>205.64</v>
      </c>
      <c r="AG72" s="535">
        <v>64</v>
      </c>
      <c r="AH72" s="536">
        <v>149.21</v>
      </c>
      <c r="AI72" s="529">
        <v>208.9</v>
      </c>
      <c r="AK72" s="535">
        <v>64</v>
      </c>
      <c r="AL72" s="536">
        <v>151.54</v>
      </c>
      <c r="AM72" s="529">
        <v>212.16</v>
      </c>
      <c r="AO72" s="535">
        <v>64</v>
      </c>
      <c r="AP72" s="536">
        <v>153.87</v>
      </c>
      <c r="AQ72" s="529">
        <v>215.42</v>
      </c>
      <c r="AS72" s="535">
        <v>64</v>
      </c>
      <c r="AT72" s="536">
        <v>156.19999999999999</v>
      </c>
      <c r="AU72" s="529">
        <v>218.68</v>
      </c>
      <c r="AW72" s="535">
        <v>64</v>
      </c>
      <c r="AX72" s="536">
        <v>158.53</v>
      </c>
      <c r="AY72" s="529">
        <v>221.94</v>
      </c>
      <c r="BA72" s="535">
        <v>64</v>
      </c>
      <c r="BB72" s="536">
        <v>160.86000000000001</v>
      </c>
      <c r="BC72" s="529">
        <v>225.21</v>
      </c>
      <c r="BE72" s="535">
        <v>64</v>
      </c>
      <c r="BF72" s="536">
        <v>165.72</v>
      </c>
      <c r="BG72" s="529">
        <v>232</v>
      </c>
      <c r="BI72" s="535">
        <v>64</v>
      </c>
      <c r="BJ72" s="536">
        <v>165.52</v>
      </c>
      <c r="BK72" s="529">
        <v>231.73</v>
      </c>
    </row>
    <row r="73" spans="1:63" ht="23.25">
      <c r="A73" s="263">
        <v>65</v>
      </c>
      <c r="B73" s="1437">
        <f t="shared" si="0"/>
        <v>144.41999999999999</v>
      </c>
      <c r="C73" s="1438">
        <f t="shared" si="1"/>
        <v>202.19</v>
      </c>
      <c r="E73" s="1420">
        <v>65</v>
      </c>
      <c r="F73" s="1421">
        <v>134.96</v>
      </c>
      <c r="G73" s="1414">
        <v>188.94</v>
      </c>
      <c r="H73" s="1404"/>
      <c r="I73" s="1420">
        <v>65</v>
      </c>
      <c r="J73" s="1421">
        <v>137.32</v>
      </c>
      <c r="K73" s="1414">
        <v>192.25</v>
      </c>
      <c r="M73" s="535">
        <v>65</v>
      </c>
      <c r="N73" s="536">
        <v>139.69</v>
      </c>
      <c r="O73" s="529">
        <v>195.57</v>
      </c>
      <c r="Q73" s="535">
        <v>65</v>
      </c>
      <c r="R73" s="536">
        <v>142.06</v>
      </c>
      <c r="S73" s="529">
        <v>198.88</v>
      </c>
      <c r="U73" s="535">
        <v>65</v>
      </c>
      <c r="V73" s="536">
        <v>144.41999999999999</v>
      </c>
      <c r="W73" s="529">
        <v>202.19</v>
      </c>
      <c r="Y73" s="535">
        <v>65</v>
      </c>
      <c r="Z73" s="536">
        <v>146.79</v>
      </c>
      <c r="AA73" s="529">
        <v>205.5</v>
      </c>
      <c r="AC73" s="535">
        <v>65</v>
      </c>
      <c r="AD73" s="536">
        <v>149.15</v>
      </c>
      <c r="AE73" s="529">
        <v>208.82</v>
      </c>
      <c r="AG73" s="535">
        <v>65</v>
      </c>
      <c r="AH73" s="536">
        <v>151.52000000000001</v>
      </c>
      <c r="AI73" s="529">
        <v>212.13</v>
      </c>
      <c r="AK73" s="535">
        <v>65</v>
      </c>
      <c r="AL73" s="536">
        <v>153.88999999999999</v>
      </c>
      <c r="AM73" s="529">
        <v>215.44</v>
      </c>
      <c r="AO73" s="535">
        <v>65</v>
      </c>
      <c r="AP73" s="536">
        <v>156.25</v>
      </c>
      <c r="AQ73" s="529">
        <v>218.75</v>
      </c>
      <c r="AS73" s="535">
        <v>65</v>
      </c>
      <c r="AT73" s="536">
        <v>158.62</v>
      </c>
      <c r="AU73" s="529">
        <v>222.07</v>
      </c>
      <c r="AW73" s="535">
        <v>65</v>
      </c>
      <c r="AX73" s="536">
        <v>160.97999999999999</v>
      </c>
      <c r="AY73" s="529">
        <v>225.38</v>
      </c>
      <c r="BA73" s="535">
        <v>65</v>
      </c>
      <c r="BB73" s="536">
        <v>163.35</v>
      </c>
      <c r="BC73" s="529">
        <v>228.69</v>
      </c>
      <c r="BE73" s="535">
        <v>65</v>
      </c>
      <c r="BF73" s="536">
        <v>165.72</v>
      </c>
      <c r="BG73" s="529">
        <v>232</v>
      </c>
      <c r="BI73" s="535">
        <v>65</v>
      </c>
      <c r="BJ73" s="536">
        <v>168.08</v>
      </c>
      <c r="BK73" s="529">
        <v>235.32</v>
      </c>
    </row>
    <row r="74" spans="1:63" ht="23.25">
      <c r="A74" s="263">
        <v>66</v>
      </c>
      <c r="B74" s="1437">
        <f t="shared" ref="B74:B137" si="2">IF($C$5=$G$5,F74,IF($C$5=$K$5,J74,IF($C$5=$O$5,N74,IF($C$5=$S$5,R74,IF($C$5=$W$5,V74,IF($C$5=$AA$5,Z74,IF($C$5=$AE$5,AD74,IF($C$5=$AI$5,AH74,IF($C$5=$AM$5,AL74,IF($C$5=$AQ$5,AP74,IF($C$5=$AU$5,AT74,IF($C$5=$AY$5,AX74,IF($C$5=$BC$5,BB74,IF($C$5=$BG$5,BF74,IF($C$5=$BK$5,BJ74,0)))))))))))))))</f>
        <v>146.63</v>
      </c>
      <c r="C74" s="1438">
        <f t="shared" ref="C74:C137" si="3">IF($C$5=$G$5,G74,IF($C$5=$K$5,K74,IF($C$5=$O$5,O74,IF($C$5=$S$5,S74,IF($C$5=$W$5,W74,IF($C$5=$AA$5,AA74,IF($C$5=$AE$5,AE74,IF($C$5=$AI$5,AI74,IF($C$5=$AM$5,AM74,IF($C$5=$AQ$5,AQ74,IF($C$5=$AU$5,AU74,IF($C$5=$AY$5,AY74,IF($C$5=$BC$5,BC74,IF($C$5=$BG$5,BG74,IF($C$5=$BK$5,BK74,0)))))))))))))))</f>
        <v>205.29</v>
      </c>
      <c r="E74" s="1420">
        <v>66</v>
      </c>
      <c r="F74" s="1421">
        <v>137.02000000000001</v>
      </c>
      <c r="G74" s="1414">
        <v>191.83</v>
      </c>
      <c r="H74" s="1404"/>
      <c r="I74" s="1420">
        <v>66</v>
      </c>
      <c r="J74" s="1421">
        <v>139.43</v>
      </c>
      <c r="K74" s="1414">
        <v>195.2</v>
      </c>
      <c r="M74" s="535">
        <v>66</v>
      </c>
      <c r="N74" s="536">
        <v>141.83000000000001</v>
      </c>
      <c r="O74" s="529">
        <v>198.56</v>
      </c>
      <c r="Q74" s="535">
        <v>66</v>
      </c>
      <c r="R74" s="536">
        <v>144.22999999999999</v>
      </c>
      <c r="S74" s="529">
        <v>201.92</v>
      </c>
      <c r="U74" s="535">
        <v>66</v>
      </c>
      <c r="V74" s="536">
        <v>146.63</v>
      </c>
      <c r="W74" s="529">
        <v>205.29</v>
      </c>
      <c r="Y74" s="535">
        <v>66</v>
      </c>
      <c r="Z74" s="536">
        <v>149.04</v>
      </c>
      <c r="AA74" s="529">
        <v>208.65</v>
      </c>
      <c r="AC74" s="535">
        <v>66</v>
      </c>
      <c r="AD74" s="536">
        <v>151.44</v>
      </c>
      <c r="AE74" s="529">
        <v>212.01</v>
      </c>
      <c r="AG74" s="535">
        <v>66</v>
      </c>
      <c r="AH74" s="536">
        <v>153.84</v>
      </c>
      <c r="AI74" s="529">
        <v>215.38</v>
      </c>
      <c r="AK74" s="535">
        <v>66</v>
      </c>
      <c r="AL74" s="536">
        <v>156.24</v>
      </c>
      <c r="AM74" s="529">
        <v>218.74</v>
      </c>
      <c r="AO74" s="535">
        <v>66</v>
      </c>
      <c r="AP74" s="536">
        <v>158.65</v>
      </c>
      <c r="AQ74" s="529">
        <v>222.1</v>
      </c>
      <c r="AS74" s="535">
        <v>66</v>
      </c>
      <c r="AT74" s="536">
        <v>161.05000000000001</v>
      </c>
      <c r="AU74" s="529">
        <v>225.47</v>
      </c>
      <c r="AW74" s="535">
        <v>66</v>
      </c>
      <c r="AX74" s="536">
        <v>163.44999999999999</v>
      </c>
      <c r="AY74" s="529">
        <v>228.83</v>
      </c>
      <c r="BA74" s="535">
        <v>66</v>
      </c>
      <c r="BB74" s="536">
        <v>165.85</v>
      </c>
      <c r="BC74" s="529">
        <v>232.19</v>
      </c>
      <c r="BE74" s="535">
        <v>66</v>
      </c>
      <c r="BF74" s="536">
        <v>168.26</v>
      </c>
      <c r="BG74" s="529">
        <v>235.56</v>
      </c>
      <c r="BI74" s="535">
        <v>66</v>
      </c>
      <c r="BJ74" s="536">
        <v>170.66</v>
      </c>
      <c r="BK74" s="529">
        <v>238.92</v>
      </c>
    </row>
    <row r="75" spans="1:63" ht="23.25">
      <c r="A75" s="263">
        <v>67</v>
      </c>
      <c r="B75" s="1437">
        <f t="shared" si="2"/>
        <v>148.86000000000001</v>
      </c>
      <c r="C75" s="1438">
        <f t="shared" si="3"/>
        <v>208.4</v>
      </c>
      <c r="E75" s="1420">
        <v>67</v>
      </c>
      <c r="F75" s="1421">
        <v>139.1</v>
      </c>
      <c r="G75" s="1414">
        <v>194.75</v>
      </c>
      <c r="H75" s="1404"/>
      <c r="I75" s="1420">
        <v>67</v>
      </c>
      <c r="J75" s="1421">
        <v>141.54</v>
      </c>
      <c r="K75" s="1414">
        <v>198.16</v>
      </c>
      <c r="M75" s="535">
        <v>67</v>
      </c>
      <c r="N75" s="536">
        <v>143.97999999999999</v>
      </c>
      <c r="O75" s="529">
        <v>201.57</v>
      </c>
      <c r="Q75" s="535">
        <v>67</v>
      </c>
      <c r="R75" s="536">
        <v>146.41999999999999</v>
      </c>
      <c r="S75" s="529">
        <v>204.99</v>
      </c>
      <c r="U75" s="535">
        <v>67</v>
      </c>
      <c r="V75" s="536">
        <v>148.86000000000001</v>
      </c>
      <c r="W75" s="529">
        <v>208.4</v>
      </c>
      <c r="Y75" s="535">
        <v>67</v>
      </c>
      <c r="Z75" s="536">
        <v>151.30000000000001</v>
      </c>
      <c r="AA75" s="529">
        <v>211.82</v>
      </c>
      <c r="AC75" s="535">
        <v>67</v>
      </c>
      <c r="AD75" s="536">
        <v>153.74</v>
      </c>
      <c r="AE75" s="529">
        <v>215.23</v>
      </c>
      <c r="AG75" s="535">
        <v>67</v>
      </c>
      <c r="AH75" s="536">
        <v>156.18</v>
      </c>
      <c r="AI75" s="529">
        <v>218.65</v>
      </c>
      <c r="AK75" s="535">
        <v>67</v>
      </c>
      <c r="AL75" s="536">
        <v>158.61000000000001</v>
      </c>
      <c r="AM75" s="529">
        <v>222.06</v>
      </c>
      <c r="AO75" s="535">
        <v>67</v>
      </c>
      <c r="AP75" s="536">
        <v>161.05000000000001</v>
      </c>
      <c r="AQ75" s="529">
        <v>225.47</v>
      </c>
      <c r="AS75" s="535">
        <v>67</v>
      </c>
      <c r="AT75" s="536">
        <v>163.49</v>
      </c>
      <c r="AU75" s="529">
        <v>228.89</v>
      </c>
      <c r="AW75" s="535">
        <v>67</v>
      </c>
      <c r="AX75" s="536">
        <v>165.93</v>
      </c>
      <c r="AY75" s="529">
        <v>232.3</v>
      </c>
      <c r="BA75" s="535">
        <v>67</v>
      </c>
      <c r="BB75" s="536">
        <v>168.37</v>
      </c>
      <c r="BC75" s="529">
        <v>235.72</v>
      </c>
      <c r="BE75" s="535">
        <v>67</v>
      </c>
      <c r="BF75" s="536">
        <v>170.81</v>
      </c>
      <c r="BG75" s="529">
        <v>239.13</v>
      </c>
      <c r="BI75" s="535">
        <v>67</v>
      </c>
      <c r="BJ75" s="536">
        <v>173.25</v>
      </c>
      <c r="BK75" s="529">
        <v>242.55</v>
      </c>
    </row>
    <row r="76" spans="1:63" ht="23.25">
      <c r="A76" s="263">
        <v>68</v>
      </c>
      <c r="B76" s="1437">
        <f t="shared" si="2"/>
        <v>151.02000000000001</v>
      </c>
      <c r="C76" s="1438">
        <f t="shared" si="3"/>
        <v>211.43</v>
      </c>
      <c r="E76" s="1420">
        <v>68</v>
      </c>
      <c r="F76" s="1421">
        <v>141.12</v>
      </c>
      <c r="G76" s="1414">
        <v>197.56</v>
      </c>
      <c r="H76" s="1404"/>
      <c r="I76" s="1420">
        <v>68</v>
      </c>
      <c r="J76" s="1421">
        <v>143.59</v>
      </c>
      <c r="K76" s="1414">
        <v>201.03</v>
      </c>
      <c r="M76" s="535">
        <v>68</v>
      </c>
      <c r="N76" s="536">
        <v>146.07</v>
      </c>
      <c r="O76" s="529">
        <v>204.49</v>
      </c>
      <c r="Q76" s="535">
        <v>68</v>
      </c>
      <c r="R76" s="536">
        <v>148.54</v>
      </c>
      <c r="S76" s="529">
        <v>207.96</v>
      </c>
      <c r="U76" s="535">
        <v>68</v>
      </c>
      <c r="V76" s="536">
        <v>151.02000000000001</v>
      </c>
      <c r="W76" s="529">
        <v>211.43</v>
      </c>
      <c r="Y76" s="535">
        <v>68</v>
      </c>
      <c r="Z76" s="536">
        <v>153.49</v>
      </c>
      <c r="AA76" s="529">
        <v>214.89</v>
      </c>
      <c r="AC76" s="535">
        <v>68</v>
      </c>
      <c r="AD76" s="536">
        <v>155.97</v>
      </c>
      <c r="AE76" s="529">
        <v>218.36</v>
      </c>
      <c r="AG76" s="535">
        <v>68</v>
      </c>
      <c r="AH76" s="536">
        <v>158.44</v>
      </c>
      <c r="AI76" s="529">
        <v>221.82</v>
      </c>
      <c r="AK76" s="535">
        <v>68</v>
      </c>
      <c r="AL76" s="536">
        <v>160.91999999999999</v>
      </c>
      <c r="AM76" s="529">
        <v>225.29</v>
      </c>
      <c r="AO76" s="535">
        <v>68</v>
      </c>
      <c r="AP76" s="536">
        <v>163.38999999999999</v>
      </c>
      <c r="AQ76" s="529">
        <v>228.75</v>
      </c>
      <c r="AS76" s="535">
        <v>68</v>
      </c>
      <c r="AT76" s="536">
        <v>165.87</v>
      </c>
      <c r="AU76" s="529">
        <v>232.22</v>
      </c>
      <c r="AW76" s="535">
        <v>68</v>
      </c>
      <c r="AX76" s="536">
        <v>168.34</v>
      </c>
      <c r="AY76" s="529">
        <v>235.68</v>
      </c>
      <c r="BA76" s="535">
        <v>68</v>
      </c>
      <c r="BB76" s="536">
        <v>170.82</v>
      </c>
      <c r="BC76" s="529">
        <v>239.15</v>
      </c>
      <c r="BE76" s="535">
        <v>68</v>
      </c>
      <c r="BF76" s="536">
        <v>173.29</v>
      </c>
      <c r="BG76" s="529">
        <v>242.61</v>
      </c>
      <c r="BI76" s="535">
        <v>68</v>
      </c>
      <c r="BJ76" s="536">
        <v>175.77</v>
      </c>
      <c r="BK76" s="529">
        <v>246.08</v>
      </c>
    </row>
    <row r="77" spans="1:63" ht="23.25">
      <c r="A77" s="263">
        <v>69</v>
      </c>
      <c r="B77" s="1437">
        <f t="shared" si="2"/>
        <v>153.27000000000001</v>
      </c>
      <c r="C77" s="1438">
        <f t="shared" si="3"/>
        <v>214.53</v>
      </c>
      <c r="E77" s="1420">
        <v>69</v>
      </c>
      <c r="F77" s="1421">
        <v>143.22</v>
      </c>
      <c r="G77" s="1414">
        <v>200.51</v>
      </c>
      <c r="H77" s="1404"/>
      <c r="I77" s="1420">
        <v>69</v>
      </c>
      <c r="J77" s="1421">
        <v>145.74</v>
      </c>
      <c r="K77" s="1414">
        <v>204.03</v>
      </c>
      <c r="M77" s="535">
        <v>69</v>
      </c>
      <c r="N77" s="536">
        <v>148.25</v>
      </c>
      <c r="O77" s="529">
        <v>207.55</v>
      </c>
      <c r="Q77" s="535">
        <v>69</v>
      </c>
      <c r="R77" s="536">
        <v>150.76</v>
      </c>
      <c r="S77" s="529">
        <v>211.06</v>
      </c>
      <c r="U77" s="535">
        <v>69</v>
      </c>
      <c r="V77" s="536">
        <v>153.27000000000001</v>
      </c>
      <c r="W77" s="529">
        <v>214.53</v>
      </c>
      <c r="Y77" s="535">
        <v>69</v>
      </c>
      <c r="Z77" s="536">
        <v>155.78</v>
      </c>
      <c r="AA77" s="529">
        <v>218.09</v>
      </c>
      <c r="AC77" s="535">
        <v>69</v>
      </c>
      <c r="AD77" s="536">
        <v>158.29</v>
      </c>
      <c r="AE77" s="529">
        <v>221.61</v>
      </c>
      <c r="AG77" s="535">
        <v>69</v>
      </c>
      <c r="AH77" s="536">
        <v>160.81</v>
      </c>
      <c r="AI77" s="529">
        <v>225.13</v>
      </c>
      <c r="AK77" s="535">
        <v>69</v>
      </c>
      <c r="AL77" s="536">
        <v>163.32</v>
      </c>
      <c r="AM77" s="529">
        <v>228.64</v>
      </c>
      <c r="AO77" s="535">
        <v>69</v>
      </c>
      <c r="AP77" s="536">
        <v>165.83</v>
      </c>
      <c r="AQ77" s="529">
        <v>232.16</v>
      </c>
      <c r="AS77" s="535">
        <v>69</v>
      </c>
      <c r="AT77" s="536">
        <v>168.34</v>
      </c>
      <c r="AU77" s="529">
        <v>235.68</v>
      </c>
      <c r="AW77" s="535">
        <v>69</v>
      </c>
      <c r="AX77" s="536">
        <v>170.85</v>
      </c>
      <c r="AY77" s="529">
        <v>239.19</v>
      </c>
      <c r="BA77" s="535">
        <v>69</v>
      </c>
      <c r="BB77" s="536">
        <v>173.36</v>
      </c>
      <c r="BC77" s="529">
        <v>242.71</v>
      </c>
      <c r="BE77" s="535">
        <v>69</v>
      </c>
      <c r="BF77" s="536">
        <v>175.87</v>
      </c>
      <c r="BG77" s="529">
        <v>246.22</v>
      </c>
      <c r="BI77" s="535">
        <v>69</v>
      </c>
      <c r="BJ77" s="536">
        <v>178.39</v>
      </c>
      <c r="BK77" s="529">
        <v>249.74</v>
      </c>
    </row>
    <row r="78" spans="1:63" ht="23.25">
      <c r="A78" s="263">
        <v>70</v>
      </c>
      <c r="B78" s="1437">
        <f t="shared" si="2"/>
        <v>155.44999999999999</v>
      </c>
      <c r="C78" s="1438">
        <f t="shared" si="3"/>
        <v>217.63</v>
      </c>
      <c r="E78" s="1420">
        <v>70</v>
      </c>
      <c r="F78" s="1421">
        <v>145.26</v>
      </c>
      <c r="G78" s="1414">
        <v>203.36</v>
      </c>
      <c r="H78" s="1404"/>
      <c r="I78" s="1420">
        <v>70</v>
      </c>
      <c r="J78" s="1421">
        <v>147.81</v>
      </c>
      <c r="K78" s="1414">
        <v>206.93</v>
      </c>
      <c r="M78" s="535">
        <v>70</v>
      </c>
      <c r="N78" s="536">
        <v>150.36000000000001</v>
      </c>
      <c r="O78" s="529">
        <v>210.5</v>
      </c>
      <c r="Q78" s="535">
        <v>70</v>
      </c>
      <c r="R78" s="536">
        <v>152.9</v>
      </c>
      <c r="S78" s="529">
        <v>214.07</v>
      </c>
      <c r="U78" s="535">
        <v>70</v>
      </c>
      <c r="V78" s="536">
        <v>155.44999999999999</v>
      </c>
      <c r="W78" s="529">
        <v>217.63</v>
      </c>
      <c r="Y78" s="535">
        <v>70</v>
      </c>
      <c r="Z78" s="536">
        <v>158</v>
      </c>
      <c r="AA78" s="529">
        <v>221.2</v>
      </c>
      <c r="AC78" s="535">
        <v>70</v>
      </c>
      <c r="AD78" s="536">
        <v>160.55000000000001</v>
      </c>
      <c r="AE78" s="529">
        <v>224.77</v>
      </c>
      <c r="AG78" s="535">
        <v>70</v>
      </c>
      <c r="AH78" s="536">
        <v>163.1</v>
      </c>
      <c r="AI78" s="529">
        <v>228.34</v>
      </c>
      <c r="AK78" s="535">
        <v>70</v>
      </c>
      <c r="AL78" s="536">
        <v>165.64</v>
      </c>
      <c r="AM78" s="529">
        <v>231.9</v>
      </c>
      <c r="AO78" s="535">
        <v>70</v>
      </c>
      <c r="AP78" s="536">
        <v>168.19</v>
      </c>
      <c r="AQ78" s="529">
        <v>235.47</v>
      </c>
      <c r="AS78" s="535">
        <v>70</v>
      </c>
      <c r="AT78" s="536">
        <v>170.74</v>
      </c>
      <c r="AU78" s="529">
        <v>239.04</v>
      </c>
      <c r="AW78" s="535">
        <v>70</v>
      </c>
      <c r="AX78" s="536">
        <v>173.29</v>
      </c>
      <c r="AY78" s="529">
        <v>242.6</v>
      </c>
      <c r="BA78" s="535">
        <v>70</v>
      </c>
      <c r="BB78" s="536">
        <v>175.84</v>
      </c>
      <c r="BC78" s="529">
        <v>246.17</v>
      </c>
      <c r="BE78" s="535">
        <v>70</v>
      </c>
      <c r="BF78" s="536">
        <v>178.38</v>
      </c>
      <c r="BG78" s="529">
        <v>249.74</v>
      </c>
      <c r="BI78" s="535">
        <v>70</v>
      </c>
      <c r="BJ78" s="536">
        <v>180.93</v>
      </c>
      <c r="BK78" s="529">
        <v>253.31</v>
      </c>
    </row>
    <row r="79" spans="1:63" ht="23.25">
      <c r="A79" s="263">
        <v>71</v>
      </c>
      <c r="B79" s="1437">
        <f t="shared" si="2"/>
        <v>157.65</v>
      </c>
      <c r="C79" s="1438">
        <f t="shared" si="3"/>
        <v>220.7</v>
      </c>
      <c r="E79" s="1420">
        <v>71</v>
      </c>
      <c r="F79" s="1421">
        <v>147.31</v>
      </c>
      <c r="G79" s="1414">
        <v>206.23</v>
      </c>
      <c r="H79" s="1404"/>
      <c r="I79" s="1420">
        <v>71</v>
      </c>
      <c r="J79" s="1421">
        <v>149.88999999999999</v>
      </c>
      <c r="K79" s="1414">
        <v>209.85</v>
      </c>
      <c r="M79" s="535">
        <v>71</v>
      </c>
      <c r="N79" s="536">
        <v>152.47999999999999</v>
      </c>
      <c r="O79" s="529">
        <v>213.47</v>
      </c>
      <c r="Q79" s="535">
        <v>71</v>
      </c>
      <c r="R79" s="536">
        <v>155.06</v>
      </c>
      <c r="S79" s="529">
        <v>217.09</v>
      </c>
      <c r="U79" s="535">
        <v>71</v>
      </c>
      <c r="V79" s="536">
        <v>157.65</v>
      </c>
      <c r="W79" s="529">
        <v>220.7</v>
      </c>
      <c r="Y79" s="535">
        <v>71</v>
      </c>
      <c r="Z79" s="536">
        <v>160.22999999999999</v>
      </c>
      <c r="AA79" s="529">
        <v>224.32</v>
      </c>
      <c r="AC79" s="535">
        <v>71</v>
      </c>
      <c r="AD79" s="536">
        <v>162.82</v>
      </c>
      <c r="AE79" s="529">
        <v>227.94</v>
      </c>
      <c r="AG79" s="535">
        <v>71</v>
      </c>
      <c r="AH79" s="536">
        <v>165.4</v>
      </c>
      <c r="AI79" s="529">
        <v>231.56</v>
      </c>
      <c r="AK79" s="535">
        <v>71</v>
      </c>
      <c r="AL79" s="536">
        <v>167.98</v>
      </c>
      <c r="AM79" s="529">
        <v>235.18</v>
      </c>
      <c r="AO79" s="535">
        <v>71</v>
      </c>
      <c r="AP79" s="536">
        <v>170.57</v>
      </c>
      <c r="AQ79" s="529">
        <v>238.8</v>
      </c>
      <c r="AS79" s="535">
        <v>71</v>
      </c>
      <c r="AT79" s="536">
        <v>173.15</v>
      </c>
      <c r="AU79" s="529">
        <v>242.41</v>
      </c>
      <c r="AW79" s="535">
        <v>71</v>
      </c>
      <c r="AX79" s="536">
        <v>175.74</v>
      </c>
      <c r="AY79" s="529">
        <v>246.03</v>
      </c>
      <c r="BA79" s="535">
        <v>71</v>
      </c>
      <c r="BB79" s="536">
        <v>178.32</v>
      </c>
      <c r="BC79" s="529">
        <v>249.65</v>
      </c>
      <c r="BE79" s="535">
        <v>71</v>
      </c>
      <c r="BF79" s="536">
        <v>180.91</v>
      </c>
      <c r="BG79" s="529">
        <v>253.27</v>
      </c>
      <c r="BI79" s="535">
        <v>71</v>
      </c>
      <c r="BJ79" s="536">
        <v>183.49</v>
      </c>
      <c r="BK79" s="529">
        <v>256.89</v>
      </c>
    </row>
    <row r="80" spans="1:63" ht="23.25">
      <c r="A80" s="263">
        <v>72</v>
      </c>
      <c r="B80" s="1437">
        <f t="shared" si="2"/>
        <v>159.85</v>
      </c>
      <c r="C80" s="1438">
        <f t="shared" si="3"/>
        <v>223.79</v>
      </c>
      <c r="E80" s="1420">
        <v>72</v>
      </c>
      <c r="F80" s="1421">
        <v>149.37</v>
      </c>
      <c r="G80" s="1414">
        <v>209.12</v>
      </c>
      <c r="H80" s="1404"/>
      <c r="I80" s="1420">
        <v>72</v>
      </c>
      <c r="J80" s="1421">
        <v>151.99</v>
      </c>
      <c r="K80" s="1414">
        <v>212.78</v>
      </c>
      <c r="M80" s="535">
        <v>72</v>
      </c>
      <c r="N80" s="536">
        <v>154.61000000000001</v>
      </c>
      <c r="O80" s="529">
        <v>216.45</v>
      </c>
      <c r="Q80" s="535">
        <v>72</v>
      </c>
      <c r="R80" s="536">
        <v>157.22999999999999</v>
      </c>
      <c r="S80" s="529">
        <v>220.12</v>
      </c>
      <c r="U80" s="535">
        <v>72</v>
      </c>
      <c r="V80" s="536">
        <v>159.85</v>
      </c>
      <c r="W80" s="529">
        <v>223.79</v>
      </c>
      <c r="Y80" s="535">
        <v>72</v>
      </c>
      <c r="Z80" s="536">
        <v>162.47</v>
      </c>
      <c r="AA80" s="529">
        <v>227.46</v>
      </c>
      <c r="AC80" s="535">
        <v>72</v>
      </c>
      <c r="AD80" s="536">
        <v>165.09</v>
      </c>
      <c r="AE80" s="529">
        <v>231.13</v>
      </c>
      <c r="AG80" s="535">
        <v>72</v>
      </c>
      <c r="AH80" s="536">
        <v>167.71</v>
      </c>
      <c r="AI80" s="529">
        <v>234.8</v>
      </c>
      <c r="AK80" s="535">
        <v>72</v>
      </c>
      <c r="AL80" s="536">
        <v>170.33</v>
      </c>
      <c r="AM80" s="529">
        <v>238.47</v>
      </c>
      <c r="AO80" s="535">
        <v>72</v>
      </c>
      <c r="AP80" s="536">
        <v>172.96</v>
      </c>
      <c r="AQ80" s="529">
        <v>242.14</v>
      </c>
      <c r="AS80" s="535">
        <v>72</v>
      </c>
      <c r="AT80" s="536">
        <v>175.58</v>
      </c>
      <c r="AU80" s="529">
        <v>245.81</v>
      </c>
      <c r="AW80" s="535">
        <v>72</v>
      </c>
      <c r="AX80" s="536">
        <v>178.2</v>
      </c>
      <c r="AY80" s="529">
        <v>249.48</v>
      </c>
      <c r="BA80" s="535">
        <v>72</v>
      </c>
      <c r="BB80" s="536">
        <v>180.82</v>
      </c>
      <c r="BC80" s="529">
        <v>253.15</v>
      </c>
      <c r="BE80" s="535">
        <v>72</v>
      </c>
      <c r="BF80" s="536">
        <v>183.44</v>
      </c>
      <c r="BG80" s="529">
        <v>256.81</v>
      </c>
      <c r="BI80" s="535">
        <v>72</v>
      </c>
      <c r="BJ80" s="536">
        <v>186.06</v>
      </c>
      <c r="BK80" s="529">
        <v>260.48</v>
      </c>
    </row>
    <row r="81" spans="1:64" ht="23.25">
      <c r="A81" s="263">
        <v>73</v>
      </c>
      <c r="B81" s="1437">
        <f t="shared" si="2"/>
        <v>162.07</v>
      </c>
      <c r="C81" s="1438">
        <f t="shared" si="3"/>
        <v>226.9</v>
      </c>
      <c r="E81" s="1420">
        <v>73</v>
      </c>
      <c r="F81" s="1421">
        <v>151.44</v>
      </c>
      <c r="G81" s="1414">
        <v>212.02</v>
      </c>
      <c r="H81" s="1404"/>
      <c r="I81" s="1420">
        <v>73</v>
      </c>
      <c r="J81" s="1421">
        <v>154.1</v>
      </c>
      <c r="K81" s="1414">
        <v>215.74</v>
      </c>
      <c r="M81" s="535">
        <v>73</v>
      </c>
      <c r="N81" s="536">
        <v>156.75</v>
      </c>
      <c r="O81" s="529">
        <v>219.46</v>
      </c>
      <c r="Q81" s="535">
        <v>73</v>
      </c>
      <c r="R81" s="536">
        <v>159.41</v>
      </c>
      <c r="S81" s="529">
        <v>223.18</v>
      </c>
      <c r="U81" s="535">
        <v>73</v>
      </c>
      <c r="V81" s="536">
        <v>162.07</v>
      </c>
      <c r="W81" s="529">
        <v>226.9</v>
      </c>
      <c r="Y81" s="535">
        <v>73</v>
      </c>
      <c r="Z81" s="536">
        <v>164.73</v>
      </c>
      <c r="AA81" s="529">
        <v>230.62</v>
      </c>
      <c r="AC81" s="535">
        <v>73</v>
      </c>
      <c r="AD81" s="536">
        <v>167.38</v>
      </c>
      <c r="AE81" s="529">
        <v>234.34</v>
      </c>
      <c r="AG81" s="535">
        <v>73</v>
      </c>
      <c r="AH81" s="536">
        <v>170.04</v>
      </c>
      <c r="AI81" s="529">
        <v>238.06</v>
      </c>
      <c r="AK81" s="535">
        <v>73</v>
      </c>
      <c r="AL81" s="536">
        <v>172.7</v>
      </c>
      <c r="AM81" s="529">
        <v>241.78</v>
      </c>
      <c r="AO81" s="535">
        <v>73</v>
      </c>
      <c r="AP81" s="536">
        <v>175.36</v>
      </c>
      <c r="AQ81" s="529">
        <v>245.5</v>
      </c>
      <c r="AS81" s="535">
        <v>73</v>
      </c>
      <c r="AT81" s="536">
        <v>178.01</v>
      </c>
      <c r="AU81" s="529">
        <v>249.22</v>
      </c>
      <c r="AW81" s="535">
        <v>73</v>
      </c>
      <c r="AX81" s="536">
        <v>180.67</v>
      </c>
      <c r="AY81" s="529">
        <v>252.94</v>
      </c>
      <c r="BA81" s="535">
        <v>73</v>
      </c>
      <c r="BB81" s="536">
        <v>183.33</v>
      </c>
      <c r="BC81" s="529">
        <v>256.66000000000003</v>
      </c>
      <c r="BE81" s="535">
        <v>73</v>
      </c>
      <c r="BF81" s="536">
        <v>185.98</v>
      </c>
      <c r="BG81" s="529">
        <v>260.38</v>
      </c>
      <c r="BI81" s="535">
        <v>73</v>
      </c>
      <c r="BJ81" s="536">
        <v>188.64</v>
      </c>
      <c r="BK81" s="529">
        <v>265.10000000000002</v>
      </c>
    </row>
    <row r="82" spans="1:64" ht="23.25">
      <c r="A82" s="263">
        <v>74</v>
      </c>
      <c r="B82" s="1437">
        <f t="shared" si="2"/>
        <v>164.3</v>
      </c>
      <c r="C82" s="1438">
        <f t="shared" si="3"/>
        <v>230.02</v>
      </c>
      <c r="E82" s="1420">
        <v>74</v>
      </c>
      <c r="F82" s="1421">
        <v>153.53</v>
      </c>
      <c r="G82" s="1414">
        <v>214.94</v>
      </c>
      <c r="H82" s="1404"/>
      <c r="I82" s="1420">
        <v>74</v>
      </c>
      <c r="J82" s="1421">
        <v>156.22</v>
      </c>
      <c r="K82" s="1414">
        <v>218.71</v>
      </c>
      <c r="M82" s="535">
        <v>74</v>
      </c>
      <c r="N82" s="536">
        <v>158.91</v>
      </c>
      <c r="O82" s="529">
        <v>222.48</v>
      </c>
      <c r="Q82" s="535">
        <v>74</v>
      </c>
      <c r="R82" s="536">
        <v>161.61000000000001</v>
      </c>
      <c r="S82" s="529">
        <v>226.25</v>
      </c>
      <c r="U82" s="535">
        <v>74</v>
      </c>
      <c r="V82" s="536">
        <v>164.3</v>
      </c>
      <c r="W82" s="529">
        <v>230.02</v>
      </c>
      <c r="Y82" s="535">
        <v>74</v>
      </c>
      <c r="Z82" s="536">
        <v>166.99</v>
      </c>
      <c r="AA82" s="529">
        <v>233.79</v>
      </c>
      <c r="AC82" s="535">
        <v>74</v>
      </c>
      <c r="AD82" s="536">
        <v>169.69</v>
      </c>
      <c r="AE82" s="529">
        <v>237.56</v>
      </c>
      <c r="AG82" s="535">
        <v>74</v>
      </c>
      <c r="AH82" s="536">
        <v>172.38</v>
      </c>
      <c r="AI82" s="529">
        <v>241.33</v>
      </c>
      <c r="AK82" s="535">
        <v>74</v>
      </c>
      <c r="AL82" s="536">
        <v>175.07</v>
      </c>
      <c r="AM82" s="529">
        <v>245.1</v>
      </c>
      <c r="AO82" s="535">
        <v>74</v>
      </c>
      <c r="AP82" s="536">
        <v>177.77</v>
      </c>
      <c r="AQ82" s="529">
        <v>248.87</v>
      </c>
      <c r="AS82" s="535">
        <v>74</v>
      </c>
      <c r="AT82" s="536">
        <v>180.46</v>
      </c>
      <c r="AU82" s="529">
        <v>252.65</v>
      </c>
      <c r="AW82" s="535">
        <v>74</v>
      </c>
      <c r="AX82" s="536">
        <v>183.15</v>
      </c>
      <c r="AY82" s="529">
        <v>256.42</v>
      </c>
      <c r="BA82" s="535">
        <v>74</v>
      </c>
      <c r="BB82" s="536">
        <v>185.85</v>
      </c>
      <c r="BC82" s="529">
        <v>260.19</v>
      </c>
      <c r="BE82" s="535">
        <v>74</v>
      </c>
      <c r="BF82" s="536">
        <v>188.54</v>
      </c>
      <c r="BG82" s="529">
        <v>263.95999999999998</v>
      </c>
      <c r="BI82" s="535">
        <v>74</v>
      </c>
      <c r="BJ82" s="536">
        <v>191.24</v>
      </c>
      <c r="BK82" s="529">
        <v>267.73</v>
      </c>
    </row>
    <row r="83" spans="1:64" ht="23.25">
      <c r="A83" s="263">
        <v>75</v>
      </c>
      <c r="B83" s="1437">
        <f t="shared" si="2"/>
        <v>166.45</v>
      </c>
      <c r="C83" s="1438">
        <f t="shared" si="3"/>
        <v>233.02</v>
      </c>
      <c r="E83" s="1420">
        <v>75</v>
      </c>
      <c r="F83" s="1421">
        <v>155.53</v>
      </c>
      <c r="G83" s="1414">
        <v>217.74</v>
      </c>
      <c r="H83" s="1404"/>
      <c r="I83" s="1420">
        <v>75</v>
      </c>
      <c r="J83" s="1421">
        <v>158.26</v>
      </c>
      <c r="K83" s="1414">
        <v>221.56</v>
      </c>
      <c r="M83" s="535">
        <v>75</v>
      </c>
      <c r="N83" s="536">
        <v>160.99</v>
      </c>
      <c r="O83" s="529">
        <v>225.38</v>
      </c>
      <c r="Q83" s="535">
        <v>75</v>
      </c>
      <c r="R83" s="536">
        <v>163.72</v>
      </c>
      <c r="S83" s="529">
        <v>229.2</v>
      </c>
      <c r="U83" s="535">
        <v>75</v>
      </c>
      <c r="V83" s="536">
        <v>166.45</v>
      </c>
      <c r="W83" s="529">
        <v>233.02</v>
      </c>
      <c r="Y83" s="535">
        <v>75</v>
      </c>
      <c r="Z83" s="536">
        <v>169.18</v>
      </c>
      <c r="AA83" s="529">
        <v>236.85</v>
      </c>
      <c r="AC83" s="535">
        <v>75</v>
      </c>
      <c r="AD83" s="536">
        <v>171.91</v>
      </c>
      <c r="AE83" s="529">
        <v>240.67</v>
      </c>
      <c r="AG83" s="535">
        <v>75</v>
      </c>
      <c r="AH83" s="536">
        <v>174.64</v>
      </c>
      <c r="AI83" s="529">
        <v>244.49</v>
      </c>
      <c r="AK83" s="535">
        <v>75</v>
      </c>
      <c r="AL83" s="536">
        <v>177.37</v>
      </c>
      <c r="AM83" s="529">
        <v>248.31</v>
      </c>
      <c r="AO83" s="535">
        <v>75</v>
      </c>
      <c r="AP83" s="536">
        <v>180.1</v>
      </c>
      <c r="AQ83" s="529">
        <v>252.13</v>
      </c>
      <c r="AS83" s="535">
        <v>75</v>
      </c>
      <c r="AT83" s="536">
        <v>182.83</v>
      </c>
      <c r="AU83" s="529">
        <v>255.96</v>
      </c>
      <c r="AW83" s="535">
        <v>75</v>
      </c>
      <c r="AX83" s="536">
        <v>185.56</v>
      </c>
      <c r="AY83" s="529">
        <v>259.77999999999997</v>
      </c>
      <c r="BA83" s="535">
        <v>75</v>
      </c>
      <c r="BB83" s="536">
        <v>188.29</v>
      </c>
      <c r="BC83" s="529">
        <v>263.60000000000002</v>
      </c>
      <c r="BE83" s="535">
        <v>75</v>
      </c>
      <c r="BF83" s="536">
        <v>191.02</v>
      </c>
      <c r="BG83" s="529">
        <v>267.42</v>
      </c>
      <c r="BI83" s="535">
        <v>75</v>
      </c>
      <c r="BJ83" s="536">
        <v>193.75</v>
      </c>
      <c r="BK83" s="529">
        <v>271.24</v>
      </c>
    </row>
    <row r="84" spans="1:64" ht="23.25">
      <c r="A84" s="263">
        <v>76</v>
      </c>
      <c r="B84" s="1437">
        <f t="shared" si="2"/>
        <v>168.7</v>
      </c>
      <c r="C84" s="1438">
        <f t="shared" si="3"/>
        <v>236.18</v>
      </c>
      <c r="E84" s="1420">
        <v>76</v>
      </c>
      <c r="F84" s="1421">
        <v>157.63999999999999</v>
      </c>
      <c r="G84" s="1414">
        <v>220.69</v>
      </c>
      <c r="H84" s="1404"/>
      <c r="I84" s="1420">
        <v>76</v>
      </c>
      <c r="J84" s="1421">
        <v>160.4</v>
      </c>
      <c r="K84" s="1414">
        <v>224.56</v>
      </c>
      <c r="M84" s="535">
        <v>76</v>
      </c>
      <c r="N84" s="536">
        <v>163.16999999999999</v>
      </c>
      <c r="O84" s="529">
        <v>228.43</v>
      </c>
      <c r="Q84" s="535">
        <v>76</v>
      </c>
      <c r="R84" s="536">
        <v>165.93</v>
      </c>
      <c r="S84" s="529">
        <v>232.31</v>
      </c>
      <c r="U84" s="535">
        <v>76</v>
      </c>
      <c r="V84" s="536">
        <v>168.7</v>
      </c>
      <c r="W84" s="529">
        <v>236.18</v>
      </c>
      <c r="Y84" s="535">
        <v>76</v>
      </c>
      <c r="Z84" s="536">
        <v>171.47</v>
      </c>
      <c r="AA84" s="529">
        <v>240.05</v>
      </c>
      <c r="AC84" s="535">
        <v>76</v>
      </c>
      <c r="AD84" s="536">
        <v>174.23</v>
      </c>
      <c r="AE84" s="529">
        <v>243.93</v>
      </c>
      <c r="AG84" s="535">
        <v>76</v>
      </c>
      <c r="AH84" s="536">
        <v>177</v>
      </c>
      <c r="AI84" s="529">
        <v>247.8</v>
      </c>
      <c r="AK84" s="535">
        <v>76</v>
      </c>
      <c r="AL84" s="536">
        <v>179.77</v>
      </c>
      <c r="AM84" s="529">
        <v>251.67</v>
      </c>
      <c r="AO84" s="535">
        <v>76</v>
      </c>
      <c r="AP84" s="536">
        <v>182.53</v>
      </c>
      <c r="AQ84" s="529">
        <v>255.55</v>
      </c>
      <c r="AS84" s="535">
        <v>76</v>
      </c>
      <c r="AT84" s="536">
        <v>185.3</v>
      </c>
      <c r="AU84" s="529">
        <v>259.42</v>
      </c>
      <c r="AW84" s="535">
        <v>76</v>
      </c>
      <c r="AX84" s="536">
        <v>188.07</v>
      </c>
      <c r="AY84" s="529">
        <v>263.29000000000002</v>
      </c>
      <c r="BA84" s="535">
        <v>76</v>
      </c>
      <c r="BB84" s="536">
        <v>190.83</v>
      </c>
      <c r="BC84" s="529">
        <v>267.16000000000003</v>
      </c>
      <c r="BE84" s="535">
        <v>76</v>
      </c>
      <c r="BF84" s="536">
        <v>193.6</v>
      </c>
      <c r="BG84" s="529">
        <v>271.04000000000002</v>
      </c>
      <c r="BI84" s="535">
        <v>76</v>
      </c>
      <c r="BJ84" s="536">
        <v>196.36</v>
      </c>
      <c r="BK84" s="529">
        <v>274.91000000000003</v>
      </c>
    </row>
    <row r="85" spans="1:64" ht="23.25">
      <c r="A85" s="263">
        <v>77</v>
      </c>
      <c r="B85" s="1437">
        <f t="shared" si="2"/>
        <v>170.87</v>
      </c>
      <c r="C85" s="1438">
        <f t="shared" si="3"/>
        <v>239.21</v>
      </c>
      <c r="E85" s="1420">
        <v>77</v>
      </c>
      <c r="F85" s="1421">
        <v>159.66</v>
      </c>
      <c r="G85" s="1414">
        <v>223.52</v>
      </c>
      <c r="H85" s="1404"/>
      <c r="I85" s="1420">
        <v>77</v>
      </c>
      <c r="J85" s="1421">
        <v>162.46</v>
      </c>
      <c r="K85" s="1414">
        <v>227.44</v>
      </c>
      <c r="M85" s="535">
        <v>77</v>
      </c>
      <c r="N85" s="536">
        <v>165.26</v>
      </c>
      <c r="O85" s="529">
        <v>231.37</v>
      </c>
      <c r="Q85" s="535">
        <v>77</v>
      </c>
      <c r="R85" s="536">
        <v>168.06</v>
      </c>
      <c r="S85" s="529">
        <v>235.29</v>
      </c>
      <c r="U85" s="535">
        <v>77</v>
      </c>
      <c r="V85" s="536">
        <v>170.87</v>
      </c>
      <c r="W85" s="529">
        <v>239.21</v>
      </c>
      <c r="Y85" s="535">
        <v>77</v>
      </c>
      <c r="Z85" s="536">
        <v>173.67</v>
      </c>
      <c r="AA85" s="529">
        <v>243.14</v>
      </c>
      <c r="AC85" s="535">
        <v>77</v>
      </c>
      <c r="AD85" s="536">
        <v>176.47</v>
      </c>
      <c r="AE85" s="529">
        <v>247.06</v>
      </c>
      <c r="AG85" s="535">
        <v>77</v>
      </c>
      <c r="AH85" s="536">
        <v>179.28</v>
      </c>
      <c r="AI85" s="529">
        <v>250.99</v>
      </c>
      <c r="AK85" s="535">
        <v>77</v>
      </c>
      <c r="AL85" s="536">
        <v>182.08</v>
      </c>
      <c r="AM85" s="529">
        <v>254.91</v>
      </c>
      <c r="AO85" s="535">
        <v>77</v>
      </c>
      <c r="AP85" s="536">
        <v>184.88</v>
      </c>
      <c r="AQ85" s="529">
        <v>258.83</v>
      </c>
      <c r="AS85" s="535">
        <v>77</v>
      </c>
      <c r="AT85" s="536">
        <v>187.68</v>
      </c>
      <c r="AU85" s="529">
        <v>262.76</v>
      </c>
      <c r="AW85" s="535">
        <v>77</v>
      </c>
      <c r="AX85" s="536">
        <v>190.49</v>
      </c>
      <c r="AY85" s="529">
        <v>266.68</v>
      </c>
      <c r="BA85" s="535">
        <v>77</v>
      </c>
      <c r="BB85" s="536">
        <v>193.29</v>
      </c>
      <c r="BC85" s="529">
        <v>270.61</v>
      </c>
      <c r="BE85" s="535">
        <v>77</v>
      </c>
      <c r="BF85" s="536">
        <v>196.09</v>
      </c>
      <c r="BG85" s="529">
        <v>274.52999999999997</v>
      </c>
      <c r="BI85" s="535">
        <v>77</v>
      </c>
      <c r="BJ85" s="536">
        <v>198.9</v>
      </c>
      <c r="BK85" s="529">
        <v>278.45</v>
      </c>
    </row>
    <row r="86" spans="1:64" ht="23.25">
      <c r="A86" s="263">
        <v>78</v>
      </c>
      <c r="B86" s="1437">
        <f t="shared" si="2"/>
        <v>173.04</v>
      </c>
      <c r="C86" s="1438">
        <f t="shared" si="3"/>
        <v>242.26</v>
      </c>
      <c r="E86" s="1420">
        <v>78</v>
      </c>
      <c r="F86" s="1421">
        <v>61.69</v>
      </c>
      <c r="G86" s="1414">
        <v>226.36</v>
      </c>
      <c r="H86" s="1404"/>
      <c r="I86" s="1420">
        <v>78</v>
      </c>
      <c r="J86" s="1421">
        <v>164.53</v>
      </c>
      <c r="K86" s="1414">
        <v>230.34</v>
      </c>
      <c r="M86" s="535">
        <v>78</v>
      </c>
      <c r="N86" s="536">
        <v>167.36</v>
      </c>
      <c r="O86" s="529">
        <v>234.31</v>
      </c>
      <c r="Q86" s="535">
        <v>78</v>
      </c>
      <c r="R86" s="536">
        <v>170.2</v>
      </c>
      <c r="S86" s="529">
        <v>238.29</v>
      </c>
      <c r="U86" s="535">
        <v>78</v>
      </c>
      <c r="V86" s="536">
        <v>173.04</v>
      </c>
      <c r="W86" s="529">
        <v>242.26</v>
      </c>
      <c r="Y86" s="535">
        <v>78</v>
      </c>
      <c r="Z86" s="536">
        <v>175.88</v>
      </c>
      <c r="AA86" s="529">
        <v>246.24</v>
      </c>
      <c r="AC86" s="535">
        <v>78</v>
      </c>
      <c r="AD86" s="536">
        <v>178.72</v>
      </c>
      <c r="AE86" s="529">
        <v>250.21</v>
      </c>
      <c r="AG86" s="535">
        <v>78</v>
      </c>
      <c r="AH86" s="536">
        <v>181.56</v>
      </c>
      <c r="AI86" s="529">
        <v>254.19</v>
      </c>
      <c r="AK86" s="535">
        <v>78</v>
      </c>
      <c r="AL86" s="536">
        <v>184.4</v>
      </c>
      <c r="AM86" s="529">
        <v>258.16000000000003</v>
      </c>
      <c r="AO86" s="535">
        <v>78</v>
      </c>
      <c r="AP86" s="536">
        <v>187.24</v>
      </c>
      <c r="AQ86" s="529">
        <v>262.13</v>
      </c>
      <c r="AS86" s="535">
        <v>78</v>
      </c>
      <c r="AT86" s="536">
        <v>190.08</v>
      </c>
      <c r="AU86" s="529">
        <v>266.11</v>
      </c>
      <c r="AW86" s="535">
        <v>78</v>
      </c>
      <c r="AX86" s="536">
        <v>192.92</v>
      </c>
      <c r="AY86" s="529">
        <v>270.08</v>
      </c>
      <c r="BA86" s="535">
        <v>78</v>
      </c>
      <c r="BB86" s="536">
        <v>195.76</v>
      </c>
      <c r="BC86" s="529">
        <v>274.06</v>
      </c>
      <c r="BE86" s="535">
        <v>78</v>
      </c>
      <c r="BF86" s="536">
        <v>198.6</v>
      </c>
      <c r="BG86" s="529">
        <v>278.02999999999997</v>
      </c>
      <c r="BI86" s="535">
        <v>78</v>
      </c>
      <c r="BJ86" s="536">
        <v>201.44</v>
      </c>
      <c r="BK86" s="529">
        <v>282.01</v>
      </c>
    </row>
    <row r="87" spans="1:64" ht="23.25">
      <c r="A87" s="263">
        <v>79</v>
      </c>
      <c r="B87" s="1437">
        <f t="shared" si="2"/>
        <v>175.34</v>
      </c>
      <c r="C87" s="1438">
        <f t="shared" si="3"/>
        <v>245.47</v>
      </c>
      <c r="E87" s="1420">
        <v>79</v>
      </c>
      <c r="F87" s="1421">
        <v>163.83000000000001</v>
      </c>
      <c r="G87" s="1414">
        <v>229.37</v>
      </c>
      <c r="H87" s="1404"/>
      <c r="I87" s="1420">
        <v>79</v>
      </c>
      <c r="J87" s="1421">
        <v>166.71</v>
      </c>
      <c r="K87" s="1414">
        <v>233.39</v>
      </c>
      <c r="M87" s="535">
        <v>79</v>
      </c>
      <c r="N87" s="536">
        <v>169.59</v>
      </c>
      <c r="O87" s="529">
        <v>237.42</v>
      </c>
      <c r="Q87" s="535">
        <v>79</v>
      </c>
      <c r="R87" s="536">
        <v>172.46</v>
      </c>
      <c r="S87" s="529">
        <v>241.45</v>
      </c>
      <c r="U87" s="535">
        <v>79</v>
      </c>
      <c r="V87" s="536">
        <v>175.34</v>
      </c>
      <c r="W87" s="529">
        <v>245.47</v>
      </c>
      <c r="Y87" s="535">
        <v>79</v>
      </c>
      <c r="Z87" s="536">
        <v>178.21</v>
      </c>
      <c r="AA87" s="529">
        <v>249.5</v>
      </c>
      <c r="AC87" s="535">
        <v>79</v>
      </c>
      <c r="AD87" s="536">
        <v>181.09</v>
      </c>
      <c r="AE87" s="529">
        <v>253.52</v>
      </c>
      <c r="AG87" s="535">
        <v>79</v>
      </c>
      <c r="AH87" s="536">
        <v>183.96</v>
      </c>
      <c r="AI87" s="529">
        <v>257.55</v>
      </c>
      <c r="AK87" s="535">
        <v>79</v>
      </c>
      <c r="AL87" s="536">
        <v>186.84</v>
      </c>
      <c r="AM87" s="529">
        <v>261.57</v>
      </c>
      <c r="AO87" s="535">
        <v>79</v>
      </c>
      <c r="AP87" s="536">
        <v>189.71</v>
      </c>
      <c r="AQ87" s="529">
        <v>265.60000000000002</v>
      </c>
      <c r="AS87" s="535">
        <v>79</v>
      </c>
      <c r="AT87" s="536">
        <v>192.59</v>
      </c>
      <c r="AU87" s="529">
        <v>269.63</v>
      </c>
      <c r="AW87" s="535">
        <v>79</v>
      </c>
      <c r="AX87" s="536">
        <v>195.47</v>
      </c>
      <c r="AY87" s="529">
        <v>273.64999999999998</v>
      </c>
      <c r="BA87" s="535">
        <v>79</v>
      </c>
      <c r="BB87" s="536">
        <v>198.34</v>
      </c>
      <c r="BC87" s="529">
        <v>277.68</v>
      </c>
      <c r="BE87" s="535">
        <v>79</v>
      </c>
      <c r="BF87" s="536">
        <v>201.22</v>
      </c>
      <c r="BG87" s="529">
        <v>281.7</v>
      </c>
      <c r="BI87" s="535">
        <v>79</v>
      </c>
      <c r="BJ87" s="536">
        <v>204.09</v>
      </c>
      <c r="BK87" s="529">
        <v>285.73</v>
      </c>
    </row>
    <row r="88" spans="1:64" ht="23.25">
      <c r="A88" s="264">
        <v>80</v>
      </c>
      <c r="B88" s="1437">
        <f t="shared" si="2"/>
        <v>177.54</v>
      </c>
      <c r="C88" s="1438">
        <f t="shared" si="3"/>
        <v>248.55</v>
      </c>
      <c r="E88" s="1422">
        <v>80</v>
      </c>
      <c r="F88" s="1416">
        <v>165.89</v>
      </c>
      <c r="G88" s="1417">
        <v>232.24</v>
      </c>
      <c r="H88" s="1404"/>
      <c r="I88" s="1422">
        <v>80</v>
      </c>
      <c r="J88" s="1416">
        <v>168.8</v>
      </c>
      <c r="K88" s="1417">
        <v>236.32</v>
      </c>
      <c r="M88" s="537">
        <v>80</v>
      </c>
      <c r="N88" s="531">
        <v>171.71</v>
      </c>
      <c r="O88" s="532">
        <v>240.4</v>
      </c>
      <c r="Q88" s="537">
        <v>80</v>
      </c>
      <c r="R88" s="531">
        <v>174.62</v>
      </c>
      <c r="S88" s="532">
        <v>244.47</v>
      </c>
      <c r="U88" s="537">
        <v>80</v>
      </c>
      <c r="V88" s="531">
        <v>177.54</v>
      </c>
      <c r="W88" s="532">
        <v>248.55</v>
      </c>
      <c r="Y88" s="537">
        <v>80</v>
      </c>
      <c r="Z88" s="531">
        <v>180.45</v>
      </c>
      <c r="AA88" s="532">
        <v>252.63</v>
      </c>
      <c r="AC88" s="537">
        <v>80</v>
      </c>
      <c r="AD88" s="531">
        <v>183.36</v>
      </c>
      <c r="AE88" s="532">
        <v>256.7</v>
      </c>
      <c r="AG88" s="537">
        <v>80</v>
      </c>
      <c r="AH88" s="531">
        <v>186.27</v>
      </c>
      <c r="AI88" s="532">
        <v>260.77999999999997</v>
      </c>
      <c r="AK88" s="537">
        <v>80</v>
      </c>
      <c r="AL88" s="531">
        <v>189.18</v>
      </c>
      <c r="AM88" s="532">
        <v>264.86</v>
      </c>
      <c r="AO88" s="537">
        <v>80</v>
      </c>
      <c r="AP88" s="531">
        <v>192.1</v>
      </c>
      <c r="AQ88" s="532">
        <v>268.93</v>
      </c>
      <c r="AS88" s="537">
        <v>80</v>
      </c>
      <c r="AT88" s="531">
        <v>195.01</v>
      </c>
      <c r="AU88" s="532">
        <v>273.01</v>
      </c>
      <c r="AW88" s="537">
        <v>80</v>
      </c>
      <c r="AX88" s="531">
        <v>197.92</v>
      </c>
      <c r="AY88" s="532">
        <v>277.08999999999997</v>
      </c>
      <c r="BA88" s="537">
        <v>80</v>
      </c>
      <c r="BB88" s="531">
        <v>200.83</v>
      </c>
      <c r="BC88" s="532">
        <v>281.16000000000003</v>
      </c>
      <c r="BE88" s="537">
        <v>80</v>
      </c>
      <c r="BF88" s="531">
        <v>203.74</v>
      </c>
      <c r="BG88" s="532">
        <v>285.24</v>
      </c>
      <c r="BI88" s="537">
        <v>80</v>
      </c>
      <c r="BJ88" s="531">
        <v>206.66</v>
      </c>
      <c r="BK88" s="532">
        <v>289.32</v>
      </c>
    </row>
    <row r="89" spans="1:64" ht="23.25">
      <c r="A89" s="261">
        <v>81</v>
      </c>
      <c r="B89" s="1437">
        <f t="shared" si="2"/>
        <v>179.74</v>
      </c>
      <c r="C89" s="1438">
        <f t="shared" si="3"/>
        <v>251.64</v>
      </c>
      <c r="E89" s="1418">
        <v>81</v>
      </c>
      <c r="F89" s="1414">
        <v>167.95</v>
      </c>
      <c r="G89" s="1412">
        <v>235.13</v>
      </c>
      <c r="H89" s="1404"/>
      <c r="I89" s="1418">
        <v>81</v>
      </c>
      <c r="J89" s="1414">
        <v>170.9</v>
      </c>
      <c r="K89" s="1412">
        <v>239.26</v>
      </c>
      <c r="M89" s="533">
        <v>81</v>
      </c>
      <c r="N89" s="529">
        <v>173.85</v>
      </c>
      <c r="O89" s="527">
        <v>243.39</v>
      </c>
      <c r="Q89" s="533">
        <v>81</v>
      </c>
      <c r="R89" s="529">
        <v>176.8</v>
      </c>
      <c r="S89" s="527">
        <v>247.51</v>
      </c>
      <c r="U89" s="533">
        <v>81</v>
      </c>
      <c r="V89" s="529">
        <v>179.74</v>
      </c>
      <c r="W89" s="527">
        <v>251.64</v>
      </c>
      <c r="Y89" s="533">
        <v>81</v>
      </c>
      <c r="Z89" s="529">
        <v>182.69</v>
      </c>
      <c r="AA89" s="527">
        <v>255.77</v>
      </c>
      <c r="AC89" s="533">
        <v>81</v>
      </c>
      <c r="AD89" s="529">
        <v>185.64</v>
      </c>
      <c r="AE89" s="527">
        <v>259.89999999999998</v>
      </c>
      <c r="AG89" s="533">
        <v>81</v>
      </c>
      <c r="AH89" s="529">
        <v>188.59</v>
      </c>
      <c r="AI89" s="527">
        <v>264.02999999999997</v>
      </c>
      <c r="AK89" s="533">
        <v>81</v>
      </c>
      <c r="AL89" s="529">
        <v>191.54</v>
      </c>
      <c r="AM89" s="527">
        <v>268.14999999999998</v>
      </c>
      <c r="AO89" s="533">
        <v>81</v>
      </c>
      <c r="AP89" s="529">
        <v>194.49</v>
      </c>
      <c r="AQ89" s="527">
        <v>272.27999999999997</v>
      </c>
      <c r="AS89" s="533">
        <v>81</v>
      </c>
      <c r="AT89" s="529">
        <v>197.44</v>
      </c>
      <c r="AU89" s="527">
        <v>276.41000000000003</v>
      </c>
      <c r="AW89" s="533">
        <v>81</v>
      </c>
      <c r="AX89" s="529">
        <v>200.38</v>
      </c>
      <c r="AY89" s="527">
        <v>280.54000000000002</v>
      </c>
      <c r="BA89" s="533">
        <v>81</v>
      </c>
      <c r="BB89" s="529">
        <v>203.33</v>
      </c>
      <c r="BC89" s="527">
        <v>284.66000000000003</v>
      </c>
      <c r="BE89" s="533">
        <v>81</v>
      </c>
      <c r="BF89" s="529">
        <v>206.28</v>
      </c>
      <c r="BG89" s="527">
        <v>288.79000000000002</v>
      </c>
      <c r="BI89" s="533">
        <v>81</v>
      </c>
      <c r="BJ89" s="529">
        <v>209.23</v>
      </c>
      <c r="BK89" s="527">
        <v>292.92</v>
      </c>
    </row>
    <row r="90" spans="1:64" ht="23.25">
      <c r="A90" s="263">
        <v>82</v>
      </c>
      <c r="B90" s="1437">
        <f t="shared" si="2"/>
        <v>181.85</v>
      </c>
      <c r="C90" s="1438">
        <f t="shared" si="3"/>
        <v>254.59</v>
      </c>
      <c r="E90" s="1420">
        <v>82</v>
      </c>
      <c r="F90" s="1421">
        <v>169.91</v>
      </c>
      <c r="G90" s="1414">
        <v>237.87</v>
      </c>
      <c r="H90" s="1404"/>
      <c r="I90" s="1420">
        <v>82</v>
      </c>
      <c r="J90" s="1421">
        <v>172.9</v>
      </c>
      <c r="K90" s="1414">
        <v>242.05</v>
      </c>
      <c r="M90" s="535">
        <v>82</v>
      </c>
      <c r="N90" s="536">
        <v>175.88</v>
      </c>
      <c r="O90" s="529">
        <v>246.23</v>
      </c>
      <c r="Q90" s="535">
        <v>82</v>
      </c>
      <c r="R90" s="536">
        <v>178.86</v>
      </c>
      <c r="S90" s="529">
        <v>250.41</v>
      </c>
      <c r="U90" s="535">
        <v>82</v>
      </c>
      <c r="V90" s="536">
        <v>181.85</v>
      </c>
      <c r="W90" s="529">
        <v>254.59</v>
      </c>
      <c r="Y90" s="535">
        <v>82</v>
      </c>
      <c r="Z90" s="536">
        <v>184.83</v>
      </c>
      <c r="AA90" s="529">
        <v>258.77</v>
      </c>
      <c r="AC90" s="535">
        <v>82</v>
      </c>
      <c r="AD90" s="536">
        <v>187.82</v>
      </c>
      <c r="AE90" s="529">
        <v>262.95</v>
      </c>
      <c r="AG90" s="535">
        <v>82</v>
      </c>
      <c r="AH90" s="536">
        <v>190.8</v>
      </c>
      <c r="AI90" s="529">
        <v>267.13</v>
      </c>
      <c r="AK90" s="535">
        <v>82</v>
      </c>
      <c r="AL90" s="536">
        <v>193.79</v>
      </c>
      <c r="AM90" s="529">
        <v>271.3</v>
      </c>
      <c r="AO90" s="535">
        <v>82</v>
      </c>
      <c r="AP90" s="536">
        <v>196.77</v>
      </c>
      <c r="AQ90" s="529">
        <v>275.48</v>
      </c>
      <c r="AS90" s="535">
        <v>82</v>
      </c>
      <c r="AT90" s="536">
        <v>199.76</v>
      </c>
      <c r="AU90" s="529">
        <v>279.66000000000003</v>
      </c>
      <c r="AW90" s="535">
        <v>82</v>
      </c>
      <c r="AX90" s="536">
        <v>202.74</v>
      </c>
      <c r="AY90" s="529">
        <v>283.83999999999997</v>
      </c>
      <c r="BA90" s="535">
        <v>82</v>
      </c>
      <c r="BB90" s="536">
        <v>205.73</v>
      </c>
      <c r="BC90" s="529">
        <v>288.02</v>
      </c>
      <c r="BE90" s="535">
        <v>82</v>
      </c>
      <c r="BF90" s="536">
        <v>208.71</v>
      </c>
      <c r="BG90" s="529">
        <v>292.2</v>
      </c>
      <c r="BI90" s="535">
        <v>82</v>
      </c>
      <c r="BJ90" s="536">
        <v>211.7</v>
      </c>
      <c r="BK90" s="529">
        <v>296.38</v>
      </c>
    </row>
    <row r="91" spans="1:64" ht="23.25">
      <c r="A91" s="263">
        <v>83</v>
      </c>
      <c r="B91" s="1437">
        <f t="shared" si="2"/>
        <v>184.08</v>
      </c>
      <c r="C91" s="1438">
        <f t="shared" si="3"/>
        <v>257.70999999999998</v>
      </c>
      <c r="E91" s="1420">
        <v>83</v>
      </c>
      <c r="F91" s="1421">
        <v>171.99</v>
      </c>
      <c r="G91" s="1414">
        <v>240.79</v>
      </c>
      <c r="H91" s="1404"/>
      <c r="I91" s="1420">
        <v>83</v>
      </c>
      <c r="J91" s="1421">
        <v>175.02</v>
      </c>
      <c r="K91" s="1414">
        <v>245.02</v>
      </c>
      <c r="M91" s="535">
        <v>83</v>
      </c>
      <c r="N91" s="536">
        <v>178.04</v>
      </c>
      <c r="O91" s="529">
        <v>249.25</v>
      </c>
      <c r="Q91" s="535">
        <v>83</v>
      </c>
      <c r="R91" s="536">
        <v>181.06</v>
      </c>
      <c r="S91" s="529">
        <v>253.48</v>
      </c>
      <c r="U91" s="535">
        <v>83</v>
      </c>
      <c r="V91" s="536">
        <v>184.08</v>
      </c>
      <c r="W91" s="529">
        <v>257.70999999999998</v>
      </c>
      <c r="Y91" s="535">
        <v>83</v>
      </c>
      <c r="Z91" s="536">
        <v>187.1</v>
      </c>
      <c r="AA91" s="529">
        <v>261.94</v>
      </c>
      <c r="AC91" s="535">
        <v>83</v>
      </c>
      <c r="AD91" s="536">
        <v>190.12</v>
      </c>
      <c r="AE91" s="529">
        <v>266.17</v>
      </c>
      <c r="AG91" s="535">
        <v>83</v>
      </c>
      <c r="AH91" s="536">
        <v>193.14</v>
      </c>
      <c r="AI91" s="529">
        <v>270.39999999999998</v>
      </c>
      <c r="AK91" s="535">
        <v>83</v>
      </c>
      <c r="AL91" s="536">
        <v>196.16</v>
      </c>
      <c r="AM91" s="529">
        <v>274.63</v>
      </c>
      <c r="AO91" s="535">
        <v>83</v>
      </c>
      <c r="AP91" s="536">
        <v>199.18</v>
      </c>
      <c r="AQ91" s="529">
        <v>278.86</v>
      </c>
      <c r="AS91" s="535">
        <v>83</v>
      </c>
      <c r="AT91" s="536">
        <v>202.21</v>
      </c>
      <c r="AU91" s="529">
        <v>283.08999999999997</v>
      </c>
      <c r="AW91" s="535">
        <v>83</v>
      </c>
      <c r="AX91" s="536">
        <v>205.23</v>
      </c>
      <c r="AY91" s="529">
        <v>287.32</v>
      </c>
      <c r="BA91" s="535">
        <v>83</v>
      </c>
      <c r="BB91" s="536">
        <v>208.25</v>
      </c>
      <c r="BC91" s="529">
        <v>291.55</v>
      </c>
      <c r="BE91" s="535">
        <v>83</v>
      </c>
      <c r="BF91" s="536">
        <v>211.27</v>
      </c>
      <c r="BG91" s="529">
        <v>295.77999999999997</v>
      </c>
      <c r="BI91" s="535">
        <v>83</v>
      </c>
      <c r="BJ91" s="536">
        <v>241.29</v>
      </c>
      <c r="BK91" s="529">
        <v>300.01</v>
      </c>
    </row>
    <row r="92" spans="1:64" ht="23.25">
      <c r="A92" s="263">
        <v>84</v>
      </c>
      <c r="B92" s="1437">
        <f t="shared" si="2"/>
        <v>186.32</v>
      </c>
      <c r="C92" s="1438">
        <f t="shared" si="3"/>
        <v>260.85000000000002</v>
      </c>
      <c r="E92" s="1420">
        <v>84</v>
      </c>
      <c r="F92" s="1421">
        <v>174.09</v>
      </c>
      <c r="G92" s="1414">
        <v>243.72</v>
      </c>
      <c r="H92" s="1404"/>
      <c r="I92" s="1420">
        <v>84</v>
      </c>
      <c r="J92" s="1421">
        <v>177.15</v>
      </c>
      <c r="K92" s="1414">
        <v>248.01</v>
      </c>
      <c r="M92" s="535">
        <v>84</v>
      </c>
      <c r="N92" s="536">
        <v>182.2</v>
      </c>
      <c r="O92" s="529">
        <v>252.29</v>
      </c>
      <c r="Q92" s="535">
        <v>84</v>
      </c>
      <c r="R92" s="536">
        <v>183.26</v>
      </c>
      <c r="S92" s="529">
        <v>256.57</v>
      </c>
      <c r="U92" s="535">
        <v>84</v>
      </c>
      <c r="V92" s="536">
        <v>186.32</v>
      </c>
      <c r="W92" s="529">
        <v>260.85000000000002</v>
      </c>
      <c r="Y92" s="535">
        <v>84</v>
      </c>
      <c r="Z92" s="536">
        <v>189.38</v>
      </c>
      <c r="AA92" s="529">
        <v>265.13</v>
      </c>
      <c r="AC92" s="535">
        <v>84</v>
      </c>
      <c r="AD92" s="536">
        <v>192.43</v>
      </c>
      <c r="AE92" s="529">
        <v>269.41000000000003</v>
      </c>
      <c r="AG92" s="535">
        <v>84</v>
      </c>
      <c r="AH92" s="536">
        <v>195.49</v>
      </c>
      <c r="AI92" s="529">
        <v>273.69</v>
      </c>
      <c r="AK92" s="535">
        <v>84</v>
      </c>
      <c r="AL92" s="536">
        <v>198.55</v>
      </c>
      <c r="AM92" s="529">
        <v>277.97000000000003</v>
      </c>
      <c r="AO92" s="535">
        <v>84</v>
      </c>
      <c r="AP92" s="536">
        <v>201.61</v>
      </c>
      <c r="AQ92" s="529">
        <v>282.25</v>
      </c>
      <c r="AS92" s="535">
        <v>84</v>
      </c>
      <c r="AT92" s="536">
        <v>204.67</v>
      </c>
      <c r="AU92" s="529">
        <v>286.52999999999997</v>
      </c>
      <c r="AW92" s="535">
        <v>84</v>
      </c>
      <c r="AX92" s="536">
        <v>207.72</v>
      </c>
      <c r="AY92" s="529">
        <v>290.81</v>
      </c>
      <c r="BA92" s="535">
        <v>84</v>
      </c>
      <c r="BB92" s="536">
        <v>210.78</v>
      </c>
      <c r="BC92" s="529">
        <v>295.08999999999997</v>
      </c>
      <c r="BE92" s="535">
        <v>84</v>
      </c>
      <c r="BF92" s="536">
        <v>213.84</v>
      </c>
      <c r="BG92" s="529">
        <v>299.37</v>
      </c>
      <c r="BI92" s="535">
        <v>84</v>
      </c>
      <c r="BJ92" s="536">
        <v>216.9</v>
      </c>
      <c r="BK92" s="529">
        <v>303.64999999999998</v>
      </c>
    </row>
    <row r="93" spans="1:64" ht="23.25">
      <c r="A93" s="263">
        <v>85</v>
      </c>
      <c r="B93" s="1437">
        <f t="shared" si="2"/>
        <v>188.57</v>
      </c>
      <c r="C93" s="1438">
        <f t="shared" si="3"/>
        <v>264</v>
      </c>
      <c r="E93" s="1420">
        <v>85</v>
      </c>
      <c r="F93" s="1421">
        <v>176.2</v>
      </c>
      <c r="G93" s="1414">
        <v>246.68</v>
      </c>
      <c r="H93" s="1404"/>
      <c r="I93" s="1420">
        <v>85</v>
      </c>
      <c r="J93" s="1421">
        <v>179.29</v>
      </c>
      <c r="K93" s="1414">
        <v>251.01</v>
      </c>
      <c r="M93" s="535">
        <v>85</v>
      </c>
      <c r="N93" s="536">
        <v>182.38</v>
      </c>
      <c r="O93" s="529">
        <v>255.34</v>
      </c>
      <c r="Q93" s="535">
        <v>85</v>
      </c>
      <c r="R93" s="536">
        <v>185.48</v>
      </c>
      <c r="S93" s="529">
        <v>259.67</v>
      </c>
      <c r="U93" s="535">
        <v>85</v>
      </c>
      <c r="V93" s="536">
        <v>188.57</v>
      </c>
      <c r="W93" s="529">
        <v>264</v>
      </c>
      <c r="Y93" s="535">
        <v>85</v>
      </c>
      <c r="Z93" s="536">
        <v>191.67</v>
      </c>
      <c r="AA93" s="529">
        <v>268.33</v>
      </c>
      <c r="AC93" s="535">
        <v>85</v>
      </c>
      <c r="AD93" s="536">
        <v>194.76</v>
      </c>
      <c r="AE93" s="529">
        <v>272.67</v>
      </c>
      <c r="AG93" s="535">
        <v>85</v>
      </c>
      <c r="AH93" s="536">
        <v>197.85</v>
      </c>
      <c r="AI93" s="529">
        <v>277</v>
      </c>
      <c r="AK93" s="535">
        <v>85</v>
      </c>
      <c r="AL93" s="536">
        <v>200.95</v>
      </c>
      <c r="AM93" s="529">
        <v>281.33</v>
      </c>
      <c r="AO93" s="535">
        <v>85</v>
      </c>
      <c r="AP93" s="536">
        <v>204.04</v>
      </c>
      <c r="AQ93" s="529">
        <v>285.66000000000003</v>
      </c>
      <c r="AS93" s="535">
        <v>85</v>
      </c>
      <c r="AT93" s="536">
        <v>207.14</v>
      </c>
      <c r="AU93" s="529">
        <v>289.99</v>
      </c>
      <c r="AW93" s="535">
        <v>85</v>
      </c>
      <c r="AX93" s="536">
        <v>210.23</v>
      </c>
      <c r="AY93" s="529">
        <v>294.32</v>
      </c>
      <c r="BA93" s="535">
        <v>85</v>
      </c>
      <c r="BB93" s="536">
        <v>213.32</v>
      </c>
      <c r="BC93" s="529">
        <v>298.64999999999998</v>
      </c>
      <c r="BE93" s="535">
        <v>85</v>
      </c>
      <c r="BF93" s="536">
        <v>216.42</v>
      </c>
      <c r="BG93" s="529">
        <v>302.99</v>
      </c>
      <c r="BI93" s="535">
        <v>85</v>
      </c>
      <c r="BJ93" s="536">
        <v>219.51</v>
      </c>
      <c r="BK93" s="529">
        <v>307.32</v>
      </c>
    </row>
    <row r="94" spans="1:64" ht="23.25">
      <c r="A94" s="263">
        <v>86</v>
      </c>
      <c r="B94" s="1437">
        <f t="shared" si="2"/>
        <v>190.71</v>
      </c>
      <c r="C94" s="1438">
        <f t="shared" si="3"/>
        <v>267</v>
      </c>
      <c r="D94" s="253"/>
      <c r="E94" s="1420">
        <v>86</v>
      </c>
      <c r="F94" s="1421">
        <v>178.19</v>
      </c>
      <c r="G94" s="1414">
        <v>249.47</v>
      </c>
      <c r="H94" s="1404"/>
      <c r="I94" s="1420">
        <v>86</v>
      </c>
      <c r="J94" s="1421">
        <v>181.32</v>
      </c>
      <c r="K94" s="1414">
        <v>253.85</v>
      </c>
      <c r="L94" s="253"/>
      <c r="M94" s="535">
        <v>86</v>
      </c>
      <c r="N94" s="536">
        <v>184.45</v>
      </c>
      <c r="O94" s="529">
        <v>258.23</v>
      </c>
      <c r="P94" s="253"/>
      <c r="Q94" s="535">
        <v>86</v>
      </c>
      <c r="R94" s="536">
        <v>187.58</v>
      </c>
      <c r="S94" s="529">
        <v>262.61</v>
      </c>
      <c r="T94" s="253"/>
      <c r="U94" s="535">
        <v>86</v>
      </c>
      <c r="V94" s="536">
        <v>190.71</v>
      </c>
      <c r="W94" s="529">
        <v>267</v>
      </c>
      <c r="X94" s="253"/>
      <c r="Y94" s="535">
        <v>86</v>
      </c>
      <c r="Z94" s="536">
        <v>193.84</v>
      </c>
      <c r="AA94" s="529">
        <v>271.38</v>
      </c>
      <c r="AB94" s="253"/>
      <c r="AC94" s="535">
        <v>86</v>
      </c>
      <c r="AD94" s="536">
        <v>196.97</v>
      </c>
      <c r="AE94" s="529">
        <v>275.76</v>
      </c>
      <c r="AF94" s="253"/>
      <c r="AG94" s="535">
        <v>86</v>
      </c>
      <c r="AH94" s="536">
        <v>200.1</v>
      </c>
      <c r="AI94" s="529">
        <v>280.14</v>
      </c>
      <c r="AJ94" s="253"/>
      <c r="AK94" s="535">
        <v>86</v>
      </c>
      <c r="AL94" s="536">
        <v>203.23</v>
      </c>
      <c r="AM94" s="529">
        <v>284.52999999999997</v>
      </c>
      <c r="AN94" s="253"/>
      <c r="AO94" s="535">
        <v>86</v>
      </c>
      <c r="AP94" s="536">
        <v>206.36</v>
      </c>
      <c r="AQ94" s="529">
        <v>288.91000000000003</v>
      </c>
      <c r="AR94" s="253"/>
      <c r="AS94" s="535">
        <v>86</v>
      </c>
      <c r="AT94" s="536">
        <v>209.49</v>
      </c>
      <c r="AU94" s="529">
        <v>293.29000000000002</v>
      </c>
      <c r="AV94" s="253"/>
      <c r="AW94" s="535">
        <v>86</v>
      </c>
      <c r="AX94" s="536">
        <v>212.62</v>
      </c>
      <c r="AY94" s="529">
        <v>297.67</v>
      </c>
      <c r="AZ94" s="253"/>
      <c r="BA94" s="535">
        <v>86</v>
      </c>
      <c r="BB94" s="536">
        <v>215.75</v>
      </c>
      <c r="BC94" s="529">
        <v>302.06</v>
      </c>
      <c r="BD94" s="253"/>
      <c r="BE94" s="535">
        <v>86</v>
      </c>
      <c r="BF94" s="536">
        <v>218.89</v>
      </c>
      <c r="BG94" s="529">
        <v>306.44</v>
      </c>
      <c r="BH94" s="253"/>
      <c r="BI94" s="535">
        <v>86</v>
      </c>
      <c r="BJ94" s="536">
        <v>222.02</v>
      </c>
      <c r="BK94" s="529">
        <v>310.82</v>
      </c>
      <c r="BL94" s="253"/>
    </row>
    <row r="95" spans="1:64" ht="23.25">
      <c r="A95" s="263">
        <v>87</v>
      </c>
      <c r="B95" s="1437">
        <f t="shared" si="2"/>
        <v>192.86</v>
      </c>
      <c r="C95" s="1438">
        <f t="shared" si="3"/>
        <v>270</v>
      </c>
      <c r="D95" s="253"/>
      <c r="E95" s="1420">
        <v>87</v>
      </c>
      <c r="F95" s="1421">
        <v>180.19</v>
      </c>
      <c r="G95" s="1414">
        <v>252.27</v>
      </c>
      <c r="H95" s="1404"/>
      <c r="I95" s="1420">
        <v>87</v>
      </c>
      <c r="J95" s="1421">
        <v>183.36</v>
      </c>
      <c r="K95" s="1414">
        <v>256.7</v>
      </c>
      <c r="L95" s="253"/>
      <c r="M95" s="535">
        <v>87</v>
      </c>
      <c r="N95" s="536">
        <v>186.52</v>
      </c>
      <c r="O95" s="529">
        <v>261.13</v>
      </c>
      <c r="P95" s="253"/>
      <c r="Q95" s="535">
        <v>87</v>
      </c>
      <c r="R95" s="536">
        <v>189.69</v>
      </c>
      <c r="S95" s="529">
        <v>265.57</v>
      </c>
      <c r="T95" s="253"/>
      <c r="U95" s="535">
        <v>87</v>
      </c>
      <c r="V95" s="536">
        <v>192.86</v>
      </c>
      <c r="W95" s="529">
        <v>270</v>
      </c>
      <c r="X95" s="253"/>
      <c r="Y95" s="535">
        <v>87</v>
      </c>
      <c r="Z95" s="536">
        <v>196.02</v>
      </c>
      <c r="AA95" s="529">
        <v>274.43</v>
      </c>
      <c r="AB95" s="253"/>
      <c r="AC95" s="535">
        <v>87</v>
      </c>
      <c r="AD95" s="536">
        <v>199.19</v>
      </c>
      <c r="AE95" s="529">
        <v>278.87</v>
      </c>
      <c r="AF95" s="253"/>
      <c r="AG95" s="535">
        <v>87</v>
      </c>
      <c r="AH95" s="536">
        <v>202.36</v>
      </c>
      <c r="AI95" s="529">
        <v>283.3</v>
      </c>
      <c r="AJ95" s="253"/>
      <c r="AK95" s="535">
        <v>87</v>
      </c>
      <c r="AL95" s="536">
        <v>205.52</v>
      </c>
      <c r="AM95" s="529">
        <v>287.73</v>
      </c>
      <c r="AN95" s="253"/>
      <c r="AO95" s="535">
        <v>87</v>
      </c>
      <c r="AP95" s="536">
        <v>208.69</v>
      </c>
      <c r="AQ95" s="529">
        <v>292.17</v>
      </c>
      <c r="AR95" s="253"/>
      <c r="AS95" s="535">
        <v>87</v>
      </c>
      <c r="AT95" s="536">
        <v>211.86</v>
      </c>
      <c r="AU95" s="529">
        <v>296.60000000000002</v>
      </c>
      <c r="AV95" s="253"/>
      <c r="AW95" s="535">
        <v>87</v>
      </c>
      <c r="AX95" s="536">
        <v>215.03</v>
      </c>
      <c r="AY95" s="529">
        <v>301.04000000000002</v>
      </c>
      <c r="AZ95" s="253"/>
      <c r="BA95" s="535">
        <v>87</v>
      </c>
      <c r="BB95" s="536">
        <v>218.19</v>
      </c>
      <c r="BC95" s="529">
        <v>305.47000000000003</v>
      </c>
      <c r="BD95" s="253"/>
      <c r="BE95" s="535">
        <v>87</v>
      </c>
      <c r="BF95" s="536">
        <v>221.36</v>
      </c>
      <c r="BG95" s="529">
        <v>309.89999999999998</v>
      </c>
      <c r="BH95" s="253"/>
      <c r="BI95" s="535">
        <v>87</v>
      </c>
      <c r="BJ95" s="536">
        <v>224.53</v>
      </c>
      <c r="BK95" s="529">
        <v>314.33999999999997</v>
      </c>
      <c r="BL95" s="253"/>
    </row>
    <row r="96" spans="1:64" ht="23.25">
      <c r="A96" s="263">
        <v>88</v>
      </c>
      <c r="B96" s="1437">
        <f t="shared" si="2"/>
        <v>195.14</v>
      </c>
      <c r="C96" s="1438">
        <f t="shared" si="3"/>
        <v>273.2</v>
      </c>
      <c r="D96" s="253"/>
      <c r="E96" s="1420">
        <v>88</v>
      </c>
      <c r="F96" s="1421">
        <v>182.33</v>
      </c>
      <c r="G96" s="1414">
        <v>255.26</v>
      </c>
      <c r="H96" s="1404"/>
      <c r="I96" s="1420">
        <v>88</v>
      </c>
      <c r="J96" s="1421">
        <v>185.53</v>
      </c>
      <c r="K96" s="1414">
        <v>259.75</v>
      </c>
      <c r="L96" s="253"/>
      <c r="M96" s="535">
        <v>88</v>
      </c>
      <c r="N96" s="536">
        <v>188.74</v>
      </c>
      <c r="O96" s="529">
        <v>264.23</v>
      </c>
      <c r="P96" s="253"/>
      <c r="Q96" s="535">
        <v>88</v>
      </c>
      <c r="R96" s="536">
        <v>191.94</v>
      </c>
      <c r="S96" s="529">
        <v>268.72000000000003</v>
      </c>
      <c r="T96" s="253"/>
      <c r="U96" s="535">
        <v>88</v>
      </c>
      <c r="V96" s="536">
        <v>195.14</v>
      </c>
      <c r="W96" s="529">
        <v>273.2</v>
      </c>
      <c r="X96" s="253"/>
      <c r="Y96" s="535">
        <v>88</v>
      </c>
      <c r="Z96" s="536">
        <v>198.35</v>
      </c>
      <c r="AA96" s="529">
        <v>277.69</v>
      </c>
      <c r="AB96" s="253"/>
      <c r="AC96" s="535">
        <v>88</v>
      </c>
      <c r="AD96" s="536">
        <v>201.55</v>
      </c>
      <c r="AE96" s="529">
        <v>282.17</v>
      </c>
      <c r="AF96" s="253"/>
      <c r="AG96" s="535">
        <v>88</v>
      </c>
      <c r="AH96" s="536">
        <v>204.75</v>
      </c>
      <c r="AI96" s="529">
        <v>286.64999999999998</v>
      </c>
      <c r="AJ96" s="253"/>
      <c r="AK96" s="535">
        <v>88</v>
      </c>
      <c r="AL96" s="536">
        <v>207.96</v>
      </c>
      <c r="AM96" s="529">
        <v>391.14</v>
      </c>
      <c r="AN96" s="253"/>
      <c r="AO96" s="535">
        <v>88</v>
      </c>
      <c r="AP96" s="536">
        <v>211.16</v>
      </c>
      <c r="AQ96" s="529">
        <v>295.62</v>
      </c>
      <c r="AR96" s="253"/>
      <c r="AS96" s="535">
        <v>88</v>
      </c>
      <c r="AT96" s="536">
        <v>214.36</v>
      </c>
      <c r="AU96" s="529">
        <v>300.11</v>
      </c>
      <c r="AV96" s="253"/>
      <c r="AW96" s="535">
        <v>88</v>
      </c>
      <c r="AX96" s="536">
        <v>217.57</v>
      </c>
      <c r="AY96" s="529">
        <v>304.58999999999997</v>
      </c>
      <c r="AZ96" s="253"/>
      <c r="BA96" s="535">
        <v>88</v>
      </c>
      <c r="BB96" s="536">
        <v>220.77</v>
      </c>
      <c r="BC96" s="529">
        <v>309.08</v>
      </c>
      <c r="BD96" s="253"/>
      <c r="BE96" s="535">
        <v>88</v>
      </c>
      <c r="BF96" s="536">
        <v>223.97</v>
      </c>
      <c r="BG96" s="529">
        <v>313.56</v>
      </c>
      <c r="BH96" s="253"/>
      <c r="BI96" s="535">
        <v>88</v>
      </c>
      <c r="BJ96" s="536">
        <v>227.18</v>
      </c>
      <c r="BK96" s="529">
        <v>318.05</v>
      </c>
      <c r="BL96" s="253"/>
    </row>
    <row r="97" spans="1:64" ht="23.25">
      <c r="A97" s="263">
        <v>89</v>
      </c>
      <c r="B97" s="1437">
        <f t="shared" si="2"/>
        <v>197.31</v>
      </c>
      <c r="C97" s="1438">
        <f t="shared" si="3"/>
        <v>276.23</v>
      </c>
      <c r="D97" s="253"/>
      <c r="E97" s="1420">
        <v>89</v>
      </c>
      <c r="F97" s="1421">
        <v>184.35</v>
      </c>
      <c r="G97" s="1414">
        <v>258.08999999999997</v>
      </c>
      <c r="H97" s="1404"/>
      <c r="I97" s="1420">
        <v>89</v>
      </c>
      <c r="J97" s="1421">
        <v>187.59</v>
      </c>
      <c r="K97" s="1414">
        <v>262.62</v>
      </c>
      <c r="L97" s="253"/>
      <c r="M97" s="535">
        <v>89</v>
      </c>
      <c r="N97" s="536">
        <v>190.83</v>
      </c>
      <c r="O97" s="529">
        <v>267.16000000000003</v>
      </c>
      <c r="P97" s="253"/>
      <c r="Q97" s="535">
        <v>89</v>
      </c>
      <c r="R97" s="536">
        <v>194.07</v>
      </c>
      <c r="S97" s="529">
        <v>271.7</v>
      </c>
      <c r="T97" s="253"/>
      <c r="U97" s="535">
        <v>89</v>
      </c>
      <c r="V97" s="536">
        <v>197.31</v>
      </c>
      <c r="W97" s="529">
        <v>276.23</v>
      </c>
      <c r="X97" s="253"/>
      <c r="Y97" s="535">
        <v>89</v>
      </c>
      <c r="Z97" s="536">
        <v>200.55</v>
      </c>
      <c r="AA97" s="529">
        <v>280.77</v>
      </c>
      <c r="AB97" s="253"/>
      <c r="AC97" s="535">
        <v>89</v>
      </c>
      <c r="AD97" s="536">
        <v>203.79</v>
      </c>
      <c r="AE97" s="529">
        <v>285.3</v>
      </c>
      <c r="AF97" s="253"/>
      <c r="AG97" s="535">
        <v>89</v>
      </c>
      <c r="AH97" s="536">
        <v>207.03</v>
      </c>
      <c r="AI97" s="529">
        <v>289.83999999999997</v>
      </c>
      <c r="AJ97" s="253"/>
      <c r="AK97" s="535">
        <v>89</v>
      </c>
      <c r="AL97" s="536">
        <v>210.27</v>
      </c>
      <c r="AM97" s="529">
        <v>294.37</v>
      </c>
      <c r="AN97" s="253"/>
      <c r="AO97" s="535">
        <v>89</v>
      </c>
      <c r="AP97" s="536">
        <v>213.51</v>
      </c>
      <c r="AQ97" s="529">
        <v>298.91000000000003</v>
      </c>
      <c r="AR97" s="253"/>
      <c r="AS97" s="535">
        <v>89</v>
      </c>
      <c r="AT97" s="536">
        <v>216.75</v>
      </c>
      <c r="AU97" s="529">
        <v>303.44</v>
      </c>
      <c r="AV97" s="253"/>
      <c r="AW97" s="535">
        <v>89</v>
      </c>
      <c r="AX97" s="536">
        <v>219.98</v>
      </c>
      <c r="AY97" s="529">
        <v>307.98</v>
      </c>
      <c r="AZ97" s="253"/>
      <c r="BA97" s="535">
        <v>89</v>
      </c>
      <c r="BB97" s="536">
        <v>223.22</v>
      </c>
      <c r="BC97" s="529">
        <v>312.51</v>
      </c>
      <c r="BD97" s="253"/>
      <c r="BE97" s="535">
        <v>89</v>
      </c>
      <c r="BF97" s="536">
        <v>226.46</v>
      </c>
      <c r="BG97" s="529">
        <v>317.05</v>
      </c>
      <c r="BH97" s="253"/>
      <c r="BI97" s="535">
        <v>89</v>
      </c>
      <c r="BJ97" s="536">
        <v>229.7</v>
      </c>
      <c r="BK97" s="529">
        <v>321.58999999999997</v>
      </c>
      <c r="BL97" s="253"/>
    </row>
    <row r="98" spans="1:64" ht="23.25">
      <c r="A98" s="263">
        <v>90</v>
      </c>
      <c r="B98" s="1437">
        <f t="shared" si="2"/>
        <v>199.48</v>
      </c>
      <c r="C98" s="1438">
        <f t="shared" si="3"/>
        <v>279.27</v>
      </c>
      <c r="D98" s="253"/>
      <c r="E98" s="1420">
        <v>90</v>
      </c>
      <c r="F98" s="1421">
        <v>186.38</v>
      </c>
      <c r="G98" s="1414">
        <v>260.93</v>
      </c>
      <c r="H98" s="1404"/>
      <c r="I98" s="1420">
        <v>90</v>
      </c>
      <c r="J98" s="1421">
        <v>189.65</v>
      </c>
      <c r="K98" s="1414">
        <v>265.51</v>
      </c>
      <c r="L98" s="253"/>
      <c r="M98" s="535">
        <v>90</v>
      </c>
      <c r="N98" s="536">
        <v>192.93</v>
      </c>
      <c r="O98" s="529">
        <v>270.10000000000002</v>
      </c>
      <c r="P98" s="253"/>
      <c r="Q98" s="535">
        <v>90</v>
      </c>
      <c r="R98" s="536">
        <v>196.2</v>
      </c>
      <c r="S98" s="529">
        <v>274.69</v>
      </c>
      <c r="T98" s="253"/>
      <c r="U98" s="535">
        <v>90</v>
      </c>
      <c r="V98" s="536">
        <v>199.48</v>
      </c>
      <c r="W98" s="529">
        <v>279.27</v>
      </c>
      <c r="X98" s="253"/>
      <c r="Y98" s="535">
        <v>90</v>
      </c>
      <c r="Z98" s="536">
        <v>202.76</v>
      </c>
      <c r="AA98" s="529">
        <v>283.86</v>
      </c>
      <c r="AB98" s="253"/>
      <c r="AC98" s="535">
        <v>90</v>
      </c>
      <c r="AD98" s="536">
        <v>206.03</v>
      </c>
      <c r="AE98" s="529">
        <v>288.45</v>
      </c>
      <c r="AF98" s="253"/>
      <c r="AG98" s="535">
        <v>90</v>
      </c>
      <c r="AH98" s="536">
        <v>209.31</v>
      </c>
      <c r="AI98" s="529">
        <v>293.02999999999997</v>
      </c>
      <c r="AJ98" s="253"/>
      <c r="AK98" s="535">
        <v>90</v>
      </c>
      <c r="AL98" s="536">
        <v>212.58</v>
      </c>
      <c r="AM98" s="529">
        <v>297.62</v>
      </c>
      <c r="AN98" s="253"/>
      <c r="AO98" s="535">
        <v>90</v>
      </c>
      <c r="AP98" s="536">
        <v>215.86</v>
      </c>
      <c r="AQ98" s="529">
        <v>302.2</v>
      </c>
      <c r="AR98" s="253"/>
      <c r="AS98" s="535">
        <v>90</v>
      </c>
      <c r="AT98" s="536">
        <v>219.14</v>
      </c>
      <c r="AU98" s="529">
        <v>306.79000000000002</v>
      </c>
      <c r="AV98" s="253"/>
      <c r="AW98" s="535">
        <v>90</v>
      </c>
      <c r="AX98" s="536">
        <v>222.41</v>
      </c>
      <c r="AY98" s="529">
        <v>311.38</v>
      </c>
      <c r="AZ98" s="253"/>
      <c r="BA98" s="535">
        <v>90</v>
      </c>
      <c r="BB98" s="536">
        <v>228.69</v>
      </c>
      <c r="BC98" s="529">
        <v>315.95999999999998</v>
      </c>
      <c r="BD98" s="253"/>
      <c r="BE98" s="535">
        <v>90</v>
      </c>
      <c r="BF98" s="536">
        <v>228.96</v>
      </c>
      <c r="BG98" s="529">
        <v>320.55</v>
      </c>
      <c r="BH98" s="253"/>
      <c r="BI98" s="535">
        <v>90</v>
      </c>
      <c r="BJ98" s="536">
        <v>232.24</v>
      </c>
      <c r="BK98" s="529">
        <v>325.14</v>
      </c>
      <c r="BL98" s="253"/>
    </row>
    <row r="99" spans="1:64" ht="23.25">
      <c r="A99" s="263">
        <v>91</v>
      </c>
      <c r="B99" s="1437">
        <f t="shared" si="2"/>
        <v>201.8</v>
      </c>
      <c r="C99" s="1438">
        <f t="shared" si="3"/>
        <v>282.52</v>
      </c>
      <c r="D99" s="253"/>
      <c r="E99" s="1420">
        <v>91</v>
      </c>
      <c r="F99" s="1421">
        <v>188.55</v>
      </c>
      <c r="G99" s="1414">
        <v>263.97000000000003</v>
      </c>
      <c r="H99" s="1404"/>
      <c r="I99" s="1420">
        <v>91</v>
      </c>
      <c r="J99" s="1421">
        <v>191.87</v>
      </c>
      <c r="K99" s="1414">
        <v>268.61</v>
      </c>
      <c r="L99" s="253"/>
      <c r="M99" s="535">
        <v>91</v>
      </c>
      <c r="N99" s="536">
        <v>195.18</v>
      </c>
      <c r="O99" s="529">
        <v>273.25</v>
      </c>
      <c r="P99" s="253"/>
      <c r="Q99" s="535">
        <v>91</v>
      </c>
      <c r="R99" s="536">
        <v>198.49</v>
      </c>
      <c r="S99" s="529">
        <v>277.89</v>
      </c>
      <c r="T99" s="253"/>
      <c r="U99" s="535">
        <v>91</v>
      </c>
      <c r="V99" s="536">
        <v>201.8</v>
      </c>
      <c r="W99" s="529">
        <v>282.52</v>
      </c>
      <c r="X99" s="253"/>
      <c r="Y99" s="535">
        <v>91</v>
      </c>
      <c r="Z99" s="536">
        <v>205.11</v>
      </c>
      <c r="AA99" s="529">
        <v>287.16000000000003</v>
      </c>
      <c r="AB99" s="253"/>
      <c r="AC99" s="535">
        <v>91</v>
      </c>
      <c r="AD99" s="536">
        <v>208.43</v>
      </c>
      <c r="AE99" s="529">
        <v>291.8</v>
      </c>
      <c r="AF99" s="253"/>
      <c r="AG99" s="535">
        <v>91</v>
      </c>
      <c r="AH99" s="536">
        <v>211.74</v>
      </c>
      <c r="AI99" s="529">
        <v>296.44</v>
      </c>
      <c r="AJ99" s="253"/>
      <c r="AK99" s="535">
        <v>91</v>
      </c>
      <c r="AL99" s="536">
        <v>215.05</v>
      </c>
      <c r="AM99" s="529">
        <v>301.07</v>
      </c>
      <c r="AN99" s="253"/>
      <c r="AO99" s="535">
        <v>91</v>
      </c>
      <c r="AP99" s="536">
        <v>218.36</v>
      </c>
      <c r="AQ99" s="529">
        <v>305.70999999999998</v>
      </c>
      <c r="AR99" s="253"/>
      <c r="AS99" s="535">
        <v>91</v>
      </c>
      <c r="AT99" s="536">
        <v>221.68</v>
      </c>
      <c r="AU99" s="529">
        <v>310.35000000000002</v>
      </c>
      <c r="AV99" s="253"/>
      <c r="AW99" s="535">
        <v>91</v>
      </c>
      <c r="AX99" s="536">
        <v>224.99</v>
      </c>
      <c r="AY99" s="529">
        <v>314.98</v>
      </c>
      <c r="AZ99" s="253"/>
      <c r="BA99" s="535">
        <v>91</v>
      </c>
      <c r="BB99" s="536">
        <v>228.3</v>
      </c>
      <c r="BC99" s="529">
        <v>319.62</v>
      </c>
      <c r="BD99" s="253"/>
      <c r="BE99" s="535">
        <v>91</v>
      </c>
      <c r="BF99" s="536">
        <v>231.61</v>
      </c>
      <c r="BG99" s="529">
        <v>324.26</v>
      </c>
      <c r="BH99" s="253"/>
      <c r="BI99" s="535">
        <v>91</v>
      </c>
      <c r="BJ99" s="536">
        <v>234.93</v>
      </c>
      <c r="BK99" s="529">
        <v>328.9</v>
      </c>
      <c r="BL99" s="253"/>
    </row>
    <row r="100" spans="1:64" ht="23.25">
      <c r="A100" s="263">
        <v>92</v>
      </c>
      <c r="B100" s="1437">
        <f t="shared" si="2"/>
        <v>203.99</v>
      </c>
      <c r="C100" s="1438">
        <f t="shared" si="3"/>
        <v>285.58999999999997</v>
      </c>
      <c r="D100" s="253"/>
      <c r="E100" s="1420">
        <v>92</v>
      </c>
      <c r="F100" s="1421">
        <v>190.6</v>
      </c>
      <c r="G100" s="1414">
        <v>266.83999999999997</v>
      </c>
      <c r="H100" s="1404"/>
      <c r="I100" s="1420">
        <v>92</v>
      </c>
      <c r="J100" s="1421">
        <v>193.95</v>
      </c>
      <c r="K100" s="1414">
        <v>271.52999999999997</v>
      </c>
      <c r="L100" s="253"/>
      <c r="M100" s="535">
        <v>92</v>
      </c>
      <c r="N100" s="536">
        <v>197.3</v>
      </c>
      <c r="O100" s="529">
        <v>276.22000000000003</v>
      </c>
      <c r="P100" s="253"/>
      <c r="Q100" s="535">
        <v>92</v>
      </c>
      <c r="R100" s="536">
        <v>200.65</v>
      </c>
      <c r="S100" s="529">
        <v>280.89999999999998</v>
      </c>
      <c r="T100" s="253"/>
      <c r="U100" s="535">
        <v>92</v>
      </c>
      <c r="V100" s="536">
        <v>203.99</v>
      </c>
      <c r="W100" s="529">
        <v>285.58999999999997</v>
      </c>
      <c r="X100" s="253"/>
      <c r="Y100" s="535">
        <v>92</v>
      </c>
      <c r="Z100" s="536">
        <v>207.34</v>
      </c>
      <c r="AA100" s="529">
        <v>290.27999999999997</v>
      </c>
      <c r="AB100" s="253"/>
      <c r="AC100" s="535">
        <v>92</v>
      </c>
      <c r="AD100" s="536">
        <v>210.69</v>
      </c>
      <c r="AE100" s="529">
        <v>294.97000000000003</v>
      </c>
      <c r="AF100" s="253"/>
      <c r="AG100" s="535">
        <v>92</v>
      </c>
      <c r="AH100" s="536">
        <v>214.04</v>
      </c>
      <c r="AI100" s="529">
        <v>299.66000000000003</v>
      </c>
      <c r="AJ100" s="253"/>
      <c r="AK100" s="535">
        <v>92</v>
      </c>
      <c r="AL100" s="536">
        <v>217.39</v>
      </c>
      <c r="AM100" s="529">
        <v>304.35000000000002</v>
      </c>
      <c r="AN100" s="253"/>
      <c r="AO100" s="535">
        <v>92</v>
      </c>
      <c r="AP100" s="536">
        <v>220.74</v>
      </c>
      <c r="AQ100" s="529">
        <v>309.02999999999997</v>
      </c>
      <c r="AR100" s="253"/>
      <c r="AS100" s="535">
        <v>92</v>
      </c>
      <c r="AT100" s="536">
        <v>224.09</v>
      </c>
      <c r="AU100" s="529">
        <v>313.72000000000003</v>
      </c>
      <c r="AV100" s="253"/>
      <c r="AW100" s="535">
        <v>92</v>
      </c>
      <c r="AX100" s="536">
        <v>227.44</v>
      </c>
      <c r="AY100" s="529">
        <v>318.41000000000003</v>
      </c>
      <c r="AZ100" s="253"/>
      <c r="BA100" s="535">
        <v>92</v>
      </c>
      <c r="BB100" s="536">
        <v>230.79</v>
      </c>
      <c r="BC100" s="529">
        <v>323.10000000000002</v>
      </c>
      <c r="BD100" s="253"/>
      <c r="BE100" s="535">
        <v>92</v>
      </c>
      <c r="BF100" s="536">
        <v>234.13</v>
      </c>
      <c r="BG100" s="529">
        <v>327.79</v>
      </c>
      <c r="BH100" s="253"/>
      <c r="BI100" s="535">
        <v>92</v>
      </c>
      <c r="BJ100" s="536">
        <v>237.48</v>
      </c>
      <c r="BK100" s="529">
        <v>332.48</v>
      </c>
      <c r="BL100" s="253"/>
    </row>
    <row r="101" spans="1:64" ht="23.25">
      <c r="A101" s="263">
        <v>93</v>
      </c>
      <c r="B101" s="1437">
        <f t="shared" si="2"/>
        <v>206.2</v>
      </c>
      <c r="C101" s="1438">
        <f t="shared" si="3"/>
        <v>288.67</v>
      </c>
      <c r="D101" s="253"/>
      <c r="E101" s="1420">
        <v>93</v>
      </c>
      <c r="F101" s="1421">
        <v>192.66</v>
      </c>
      <c r="G101" s="1414">
        <v>269.72000000000003</v>
      </c>
      <c r="H101" s="1404"/>
      <c r="I101" s="1420">
        <v>93</v>
      </c>
      <c r="J101" s="1421">
        <v>196.04</v>
      </c>
      <c r="K101" s="1414">
        <v>274.45999999999998</v>
      </c>
      <c r="L101" s="253"/>
      <c r="M101" s="535">
        <v>93</v>
      </c>
      <c r="N101" s="536">
        <v>199.43</v>
      </c>
      <c r="O101" s="529">
        <v>279.2</v>
      </c>
      <c r="P101" s="253"/>
      <c r="Q101" s="535">
        <v>93</v>
      </c>
      <c r="R101" s="536">
        <v>202.81</v>
      </c>
      <c r="S101" s="529">
        <v>283.94</v>
      </c>
      <c r="T101" s="253"/>
      <c r="U101" s="535">
        <v>93</v>
      </c>
      <c r="V101" s="536">
        <v>206.2</v>
      </c>
      <c r="W101" s="529">
        <v>288.67</v>
      </c>
      <c r="X101" s="253"/>
      <c r="Y101" s="535">
        <v>93</v>
      </c>
      <c r="Z101" s="536">
        <v>209.58</v>
      </c>
      <c r="AA101" s="529">
        <v>293.41000000000003</v>
      </c>
      <c r="AB101" s="253"/>
      <c r="AC101" s="535">
        <v>93</v>
      </c>
      <c r="AD101" s="536">
        <v>212.97</v>
      </c>
      <c r="AE101" s="529">
        <v>298.14999999999998</v>
      </c>
      <c r="AF101" s="253"/>
      <c r="AG101" s="535">
        <v>93</v>
      </c>
      <c r="AH101" s="536">
        <v>216.35</v>
      </c>
      <c r="AI101" s="529">
        <v>302.89</v>
      </c>
      <c r="AJ101" s="253"/>
      <c r="AK101" s="535">
        <v>93</v>
      </c>
      <c r="AL101" s="536">
        <v>219.74</v>
      </c>
      <c r="AM101" s="529">
        <v>307.63</v>
      </c>
      <c r="AN101" s="253"/>
      <c r="AO101" s="535">
        <v>93</v>
      </c>
      <c r="AP101" s="536">
        <v>223.12</v>
      </c>
      <c r="AQ101" s="529">
        <v>312.37</v>
      </c>
      <c r="AR101" s="253"/>
      <c r="AS101" s="535">
        <v>93</v>
      </c>
      <c r="AT101" s="536">
        <v>226.51</v>
      </c>
      <c r="AU101" s="529">
        <v>317.11</v>
      </c>
      <c r="AV101" s="253"/>
      <c r="AW101" s="535">
        <v>93</v>
      </c>
      <c r="AX101" s="536">
        <v>229.89</v>
      </c>
      <c r="AY101" s="529">
        <v>321.85000000000002</v>
      </c>
      <c r="AZ101" s="253"/>
      <c r="BA101" s="535">
        <v>93</v>
      </c>
      <c r="BB101" s="536">
        <v>233.28</v>
      </c>
      <c r="BC101" s="529">
        <v>326.58999999999997</v>
      </c>
      <c r="BD101" s="253"/>
      <c r="BE101" s="535">
        <v>93</v>
      </c>
      <c r="BF101" s="536">
        <v>236.66</v>
      </c>
      <c r="BG101" s="529">
        <v>331.33</v>
      </c>
      <c r="BH101" s="253"/>
      <c r="BI101" s="535">
        <v>93</v>
      </c>
      <c r="BJ101" s="536">
        <v>240.05</v>
      </c>
      <c r="BK101" s="529">
        <v>336.07</v>
      </c>
      <c r="BL101" s="253"/>
    </row>
    <row r="102" spans="1:64" ht="23.25">
      <c r="A102" s="263">
        <v>94</v>
      </c>
      <c r="B102" s="1437">
        <f t="shared" si="2"/>
        <v>208.41</v>
      </c>
      <c r="C102" s="1438">
        <f t="shared" si="3"/>
        <v>291.77</v>
      </c>
      <c r="D102" s="253"/>
      <c r="E102" s="1420">
        <v>94</v>
      </c>
      <c r="F102" s="1421">
        <v>194.72</v>
      </c>
      <c r="G102" s="1414">
        <v>272.61</v>
      </c>
      <c r="H102" s="1404"/>
      <c r="I102" s="1420">
        <v>94</v>
      </c>
      <c r="J102" s="1421">
        <v>198.14</v>
      </c>
      <c r="K102" s="1414">
        <v>277.39999999999998</v>
      </c>
      <c r="L102" s="253"/>
      <c r="M102" s="535">
        <v>94</v>
      </c>
      <c r="N102" s="536">
        <v>201.56</v>
      </c>
      <c r="O102" s="529">
        <v>282.19</v>
      </c>
      <c r="P102" s="253"/>
      <c r="Q102" s="535">
        <v>94</v>
      </c>
      <c r="R102" s="536">
        <v>204.99</v>
      </c>
      <c r="S102" s="529">
        <v>286.98</v>
      </c>
      <c r="T102" s="253"/>
      <c r="U102" s="535">
        <v>94</v>
      </c>
      <c r="V102" s="536">
        <v>208.41</v>
      </c>
      <c r="W102" s="529">
        <v>291.77</v>
      </c>
      <c r="X102" s="253"/>
      <c r="Y102" s="535">
        <v>94</v>
      </c>
      <c r="Z102" s="536">
        <v>211.83</v>
      </c>
      <c r="AA102" s="529">
        <v>296.56</v>
      </c>
      <c r="AB102" s="253"/>
      <c r="AC102" s="535">
        <v>94</v>
      </c>
      <c r="AD102" s="536">
        <v>215.25</v>
      </c>
      <c r="AE102" s="529">
        <v>301.35000000000002</v>
      </c>
      <c r="AF102" s="253"/>
      <c r="AG102" s="535">
        <v>94</v>
      </c>
      <c r="AH102" s="536">
        <v>218.67</v>
      </c>
      <c r="AI102" s="529">
        <v>306.14</v>
      </c>
      <c r="AJ102" s="253"/>
      <c r="AK102" s="535">
        <v>94</v>
      </c>
      <c r="AL102" s="536">
        <v>222.09</v>
      </c>
      <c r="AM102" s="529">
        <v>310.93</v>
      </c>
      <c r="AN102" s="253"/>
      <c r="AO102" s="535">
        <v>94</v>
      </c>
      <c r="AP102" s="536">
        <v>225.51</v>
      </c>
      <c r="AQ102" s="529">
        <v>315.72000000000003</v>
      </c>
      <c r="AR102" s="253"/>
      <c r="AS102" s="535">
        <v>94</v>
      </c>
      <c r="AT102" s="536">
        <v>228.94</v>
      </c>
      <c r="AU102" s="529">
        <v>320.51</v>
      </c>
      <c r="AV102" s="253"/>
      <c r="AW102" s="535">
        <v>94</v>
      </c>
      <c r="AX102" s="536">
        <v>232.36</v>
      </c>
      <c r="AY102" s="529">
        <v>325.3</v>
      </c>
      <c r="AZ102" s="253"/>
      <c r="BA102" s="535">
        <v>94</v>
      </c>
      <c r="BB102" s="536">
        <v>235.78</v>
      </c>
      <c r="BC102" s="529">
        <v>330.09</v>
      </c>
      <c r="BD102" s="253"/>
      <c r="BE102" s="535">
        <v>94</v>
      </c>
      <c r="BF102" s="536">
        <v>239.2</v>
      </c>
      <c r="BG102" s="529">
        <v>334.88</v>
      </c>
      <c r="BH102" s="253"/>
      <c r="BI102" s="535">
        <v>94</v>
      </c>
      <c r="BJ102" s="536">
        <v>242.62</v>
      </c>
      <c r="BK102" s="529">
        <v>339.67</v>
      </c>
      <c r="BL102" s="253"/>
    </row>
    <row r="103" spans="1:64" ht="23.25">
      <c r="A103" s="263">
        <v>95</v>
      </c>
      <c r="B103" s="1437">
        <f t="shared" si="2"/>
        <v>210.47</v>
      </c>
      <c r="C103" s="1438">
        <f t="shared" si="3"/>
        <v>294.66000000000003</v>
      </c>
      <c r="D103" s="253"/>
      <c r="E103" s="1420">
        <v>95</v>
      </c>
      <c r="F103" s="1421">
        <v>196.64</v>
      </c>
      <c r="G103" s="1414">
        <v>275.3</v>
      </c>
      <c r="H103" s="1404"/>
      <c r="I103" s="1420">
        <v>95</v>
      </c>
      <c r="J103" s="1421">
        <v>200.1</v>
      </c>
      <c r="K103" s="1414">
        <v>280.14</v>
      </c>
      <c r="L103" s="253"/>
      <c r="M103" s="535">
        <v>95</v>
      </c>
      <c r="N103" s="536">
        <v>203.56</v>
      </c>
      <c r="O103" s="529">
        <v>284.98</v>
      </c>
      <c r="P103" s="253"/>
      <c r="Q103" s="535">
        <v>95</v>
      </c>
      <c r="R103" s="536">
        <v>207.02</v>
      </c>
      <c r="S103" s="529">
        <v>289.82</v>
      </c>
      <c r="T103" s="253"/>
      <c r="U103" s="535">
        <v>95</v>
      </c>
      <c r="V103" s="536">
        <v>210.47</v>
      </c>
      <c r="W103" s="529">
        <v>294.66000000000003</v>
      </c>
      <c r="X103" s="253"/>
      <c r="Y103" s="535">
        <v>95</v>
      </c>
      <c r="Z103" s="536">
        <v>213.93</v>
      </c>
      <c r="AA103" s="529">
        <v>299.5</v>
      </c>
      <c r="AB103" s="253"/>
      <c r="AC103" s="535">
        <v>95</v>
      </c>
      <c r="AD103" s="536">
        <v>217.39</v>
      </c>
      <c r="AE103" s="529">
        <v>304.35000000000002</v>
      </c>
      <c r="AF103" s="253"/>
      <c r="AG103" s="535">
        <v>95</v>
      </c>
      <c r="AH103" s="536">
        <v>220.85</v>
      </c>
      <c r="AI103" s="529">
        <v>309.19</v>
      </c>
      <c r="AJ103" s="253"/>
      <c r="AK103" s="535">
        <v>95</v>
      </c>
      <c r="AL103" s="536">
        <v>224.31</v>
      </c>
      <c r="AM103" s="529">
        <v>314.02999999999997</v>
      </c>
      <c r="AN103" s="253"/>
      <c r="AO103" s="535">
        <v>95</v>
      </c>
      <c r="AP103" s="536">
        <v>227.76</v>
      </c>
      <c r="AQ103" s="529">
        <v>318.87</v>
      </c>
      <c r="AR103" s="253"/>
      <c r="AS103" s="535">
        <v>95</v>
      </c>
      <c r="AT103" s="536">
        <v>231.22</v>
      </c>
      <c r="AU103" s="529">
        <v>323.70999999999998</v>
      </c>
      <c r="AV103" s="253"/>
      <c r="AW103" s="535">
        <v>95</v>
      </c>
      <c r="AX103" s="536">
        <v>234.68</v>
      </c>
      <c r="AY103" s="529">
        <v>328.55</v>
      </c>
      <c r="AZ103" s="253"/>
      <c r="BA103" s="535">
        <v>95</v>
      </c>
      <c r="BB103" s="536">
        <v>238.14</v>
      </c>
      <c r="BC103" s="529">
        <v>333.39</v>
      </c>
      <c r="BD103" s="253"/>
      <c r="BE103" s="535">
        <v>95</v>
      </c>
      <c r="BF103" s="536">
        <v>241.6</v>
      </c>
      <c r="BG103" s="529">
        <v>338.23</v>
      </c>
      <c r="BH103" s="253"/>
      <c r="BI103" s="535">
        <v>95</v>
      </c>
      <c r="BJ103" s="536">
        <v>245.05</v>
      </c>
      <c r="BK103" s="529">
        <v>343.07</v>
      </c>
      <c r="BL103" s="253"/>
    </row>
    <row r="104" spans="1:64" ht="23.25">
      <c r="A104" s="263">
        <v>96</v>
      </c>
      <c r="B104" s="1437">
        <f t="shared" si="2"/>
        <v>212.7</v>
      </c>
      <c r="C104" s="1438">
        <f t="shared" si="3"/>
        <v>297.77999999999997</v>
      </c>
      <c r="D104" s="253"/>
      <c r="E104" s="1420">
        <v>96</v>
      </c>
      <c r="F104" s="1421">
        <v>198.72</v>
      </c>
      <c r="G104" s="1414">
        <v>278.20999999999998</v>
      </c>
      <c r="H104" s="1404"/>
      <c r="I104" s="1420">
        <v>96</v>
      </c>
      <c r="J104" s="1421">
        <v>202.22</v>
      </c>
      <c r="K104" s="1414">
        <v>283.10000000000002</v>
      </c>
      <c r="L104" s="253"/>
      <c r="M104" s="535">
        <v>96</v>
      </c>
      <c r="N104" s="536">
        <v>205.71</v>
      </c>
      <c r="O104" s="529">
        <v>288</v>
      </c>
      <c r="P104" s="253"/>
      <c r="Q104" s="535">
        <v>96</v>
      </c>
      <c r="R104" s="536">
        <v>209.21</v>
      </c>
      <c r="S104" s="529">
        <v>292.89</v>
      </c>
      <c r="T104" s="253"/>
      <c r="U104" s="535">
        <v>96</v>
      </c>
      <c r="V104" s="536">
        <v>212.7</v>
      </c>
      <c r="W104" s="529">
        <v>297.77999999999997</v>
      </c>
      <c r="X104" s="253"/>
      <c r="Y104" s="535">
        <v>96</v>
      </c>
      <c r="Z104" s="536">
        <v>216.19</v>
      </c>
      <c r="AA104" s="529">
        <v>302.67</v>
      </c>
      <c r="AB104" s="253"/>
      <c r="AC104" s="535">
        <v>96</v>
      </c>
      <c r="AD104" s="536">
        <v>219.69</v>
      </c>
      <c r="AE104" s="529">
        <v>307.56</v>
      </c>
      <c r="AF104" s="253"/>
      <c r="AG104" s="535">
        <v>96</v>
      </c>
      <c r="AH104" s="536">
        <v>223.18</v>
      </c>
      <c r="AI104" s="529">
        <v>312.45999999999998</v>
      </c>
      <c r="AJ104" s="253"/>
      <c r="AK104" s="535">
        <v>96</v>
      </c>
      <c r="AL104" s="536">
        <v>226.68</v>
      </c>
      <c r="AM104" s="529">
        <v>317.35000000000002</v>
      </c>
      <c r="AN104" s="253"/>
      <c r="AO104" s="535">
        <v>96</v>
      </c>
      <c r="AP104" s="536">
        <v>230.17</v>
      </c>
      <c r="AQ104" s="529">
        <v>322.24</v>
      </c>
      <c r="AR104" s="253"/>
      <c r="AS104" s="535">
        <v>96</v>
      </c>
      <c r="AT104" s="536">
        <v>233.67</v>
      </c>
      <c r="AU104" s="529">
        <v>327.13</v>
      </c>
      <c r="AV104" s="253"/>
      <c r="AW104" s="535">
        <v>96</v>
      </c>
      <c r="AX104" s="536">
        <v>237.16</v>
      </c>
      <c r="AY104" s="529">
        <v>332.03</v>
      </c>
      <c r="AZ104" s="253"/>
      <c r="BA104" s="535">
        <v>96</v>
      </c>
      <c r="BB104" s="536">
        <v>240.66</v>
      </c>
      <c r="BC104" s="529">
        <v>336.92</v>
      </c>
      <c r="BD104" s="253"/>
      <c r="BE104" s="535">
        <v>96</v>
      </c>
      <c r="BF104" s="536">
        <v>244.15</v>
      </c>
      <c r="BG104" s="529">
        <v>341.81</v>
      </c>
      <c r="BH104" s="253"/>
      <c r="BI104" s="535">
        <v>96</v>
      </c>
      <c r="BJ104" s="536">
        <v>247.64</v>
      </c>
      <c r="BK104" s="529">
        <v>346.7</v>
      </c>
      <c r="BL104" s="253"/>
    </row>
    <row r="105" spans="1:64" ht="23.25">
      <c r="A105" s="263">
        <v>97</v>
      </c>
      <c r="B105" s="1437">
        <f t="shared" si="2"/>
        <v>214.94</v>
      </c>
      <c r="C105" s="1438">
        <f t="shared" si="3"/>
        <v>300.91000000000003</v>
      </c>
      <c r="D105" s="253"/>
      <c r="E105" s="1420">
        <v>97</v>
      </c>
      <c r="F105" s="1421">
        <v>200.81</v>
      </c>
      <c r="G105" s="1414">
        <v>281.14</v>
      </c>
      <c r="H105" s="1404"/>
      <c r="I105" s="1420">
        <v>97</v>
      </c>
      <c r="J105" s="1421">
        <v>204.35</v>
      </c>
      <c r="K105" s="1414">
        <v>286.08</v>
      </c>
      <c r="L105" s="253"/>
      <c r="M105" s="535">
        <v>97</v>
      </c>
      <c r="N105" s="536">
        <v>207.88</v>
      </c>
      <c r="O105" s="529">
        <v>291.02999999999997</v>
      </c>
      <c r="P105" s="253"/>
      <c r="Q105" s="535">
        <v>97</v>
      </c>
      <c r="R105" s="536">
        <v>211.41</v>
      </c>
      <c r="S105" s="529">
        <v>295.97000000000003</v>
      </c>
      <c r="T105" s="253"/>
      <c r="U105" s="535">
        <v>97</v>
      </c>
      <c r="V105" s="536">
        <v>214.94</v>
      </c>
      <c r="W105" s="529">
        <v>300.91000000000003</v>
      </c>
      <c r="X105" s="253"/>
      <c r="Y105" s="535">
        <v>97</v>
      </c>
      <c r="Z105" s="536">
        <v>218.47</v>
      </c>
      <c r="AA105" s="529">
        <v>305.86</v>
      </c>
      <c r="AB105" s="253"/>
      <c r="AC105" s="535">
        <v>97</v>
      </c>
      <c r="AD105" s="536">
        <v>222</v>
      </c>
      <c r="AE105" s="529">
        <v>310.8</v>
      </c>
      <c r="AF105" s="253"/>
      <c r="AG105" s="535">
        <v>97</v>
      </c>
      <c r="AH105" s="536">
        <v>225.53</v>
      </c>
      <c r="AI105" s="529">
        <v>315.74</v>
      </c>
      <c r="AJ105" s="253"/>
      <c r="AK105" s="535">
        <v>97</v>
      </c>
      <c r="AL105" s="536">
        <v>229.06</v>
      </c>
      <c r="AM105" s="529">
        <v>320.68</v>
      </c>
      <c r="AN105" s="253"/>
      <c r="AO105" s="535">
        <v>97</v>
      </c>
      <c r="AP105" s="536">
        <v>232.59</v>
      </c>
      <c r="AQ105" s="529">
        <v>325.63</v>
      </c>
      <c r="AR105" s="253"/>
      <c r="AS105" s="535">
        <v>97</v>
      </c>
      <c r="AT105" s="536">
        <v>236.12</v>
      </c>
      <c r="AU105" s="529">
        <v>330.57</v>
      </c>
      <c r="AV105" s="253"/>
      <c r="AW105" s="535">
        <v>97</v>
      </c>
      <c r="AX105" s="536">
        <v>239.65</v>
      </c>
      <c r="AY105" s="529">
        <v>335.51</v>
      </c>
      <c r="AZ105" s="253"/>
      <c r="BA105" s="535">
        <v>97</v>
      </c>
      <c r="BB105" s="536">
        <v>243.18</v>
      </c>
      <c r="BC105" s="529">
        <v>340.46</v>
      </c>
      <c r="BD105" s="253"/>
      <c r="BE105" s="535">
        <v>97</v>
      </c>
      <c r="BF105" s="536">
        <v>246.71</v>
      </c>
      <c r="BG105" s="529">
        <v>345.4</v>
      </c>
      <c r="BH105" s="253"/>
      <c r="BI105" s="535">
        <v>97</v>
      </c>
      <c r="BJ105" s="536">
        <v>250.25</v>
      </c>
      <c r="BK105" s="529">
        <v>350.34</v>
      </c>
      <c r="BL105" s="253"/>
    </row>
    <row r="106" spans="1:64" ht="23.25">
      <c r="A106" s="263">
        <v>98</v>
      </c>
      <c r="B106" s="1437">
        <f t="shared" si="2"/>
        <v>217.18</v>
      </c>
      <c r="C106" s="1438">
        <f t="shared" si="3"/>
        <v>304.06</v>
      </c>
      <c r="D106" s="253"/>
      <c r="E106" s="1420">
        <v>98</v>
      </c>
      <c r="F106" s="1421">
        <v>202.92</v>
      </c>
      <c r="G106" s="1414">
        <v>284.08</v>
      </c>
      <c r="H106" s="1404"/>
      <c r="I106" s="1420">
        <v>98</v>
      </c>
      <c r="J106" s="1421">
        <v>206.48</v>
      </c>
      <c r="K106" s="1414">
        <v>289.08</v>
      </c>
      <c r="L106" s="253"/>
      <c r="M106" s="535">
        <v>98</v>
      </c>
      <c r="N106" s="536">
        <v>210.05</v>
      </c>
      <c r="O106" s="529">
        <v>294.07</v>
      </c>
      <c r="P106" s="253"/>
      <c r="Q106" s="535">
        <v>98</v>
      </c>
      <c r="R106" s="536">
        <v>312.62</v>
      </c>
      <c r="S106" s="529">
        <v>299.06</v>
      </c>
      <c r="T106" s="253"/>
      <c r="U106" s="535">
        <v>98</v>
      </c>
      <c r="V106" s="536">
        <v>217.18</v>
      </c>
      <c r="W106" s="529">
        <v>304.06</v>
      </c>
      <c r="X106" s="253"/>
      <c r="Y106" s="535">
        <v>98</v>
      </c>
      <c r="Z106" s="536">
        <v>220.75</v>
      </c>
      <c r="AA106" s="529">
        <v>309.05</v>
      </c>
      <c r="AB106" s="253"/>
      <c r="AC106" s="535">
        <v>98</v>
      </c>
      <c r="AD106" s="536">
        <v>224.32</v>
      </c>
      <c r="AE106" s="529">
        <v>314.05</v>
      </c>
      <c r="AF106" s="253"/>
      <c r="AG106" s="535">
        <v>98</v>
      </c>
      <c r="AH106" s="536">
        <v>227.89</v>
      </c>
      <c r="AI106" s="529">
        <v>319.04000000000002</v>
      </c>
      <c r="AJ106" s="253"/>
      <c r="AK106" s="535">
        <v>98</v>
      </c>
      <c r="AL106" s="536">
        <v>231.45</v>
      </c>
      <c r="AM106" s="529">
        <v>324.04000000000002</v>
      </c>
      <c r="AN106" s="253"/>
      <c r="AO106" s="535">
        <v>98</v>
      </c>
      <c r="AP106" s="536">
        <v>235.02</v>
      </c>
      <c r="AQ106" s="529">
        <v>329.03</v>
      </c>
      <c r="AR106" s="253"/>
      <c r="AS106" s="535">
        <v>98</v>
      </c>
      <c r="AT106" s="536">
        <v>238.59</v>
      </c>
      <c r="AU106" s="529">
        <v>334.02</v>
      </c>
      <c r="AV106" s="253"/>
      <c r="AW106" s="535">
        <v>98</v>
      </c>
      <c r="AX106" s="536">
        <v>242.16</v>
      </c>
      <c r="AY106" s="529">
        <v>339.02</v>
      </c>
      <c r="AZ106" s="253"/>
      <c r="BA106" s="535">
        <v>98</v>
      </c>
      <c r="BB106" s="536">
        <v>245.72</v>
      </c>
      <c r="BC106" s="529">
        <v>344.01</v>
      </c>
      <c r="BD106" s="253"/>
      <c r="BE106" s="535">
        <v>98</v>
      </c>
      <c r="BF106" s="536">
        <v>249.29</v>
      </c>
      <c r="BG106" s="529">
        <v>349.01</v>
      </c>
      <c r="BH106" s="253"/>
      <c r="BI106" s="535">
        <v>98</v>
      </c>
      <c r="BJ106" s="536">
        <v>252.86</v>
      </c>
      <c r="BK106" s="529">
        <v>354</v>
      </c>
      <c r="BL106" s="253"/>
    </row>
    <row r="107" spans="1:64" ht="23.25">
      <c r="A107" s="263">
        <v>99</v>
      </c>
      <c r="B107" s="1437">
        <f t="shared" si="2"/>
        <v>219.44</v>
      </c>
      <c r="C107" s="1438">
        <f t="shared" si="3"/>
        <v>307.22000000000003</v>
      </c>
      <c r="D107" s="253"/>
      <c r="E107" s="1420">
        <v>99</v>
      </c>
      <c r="F107" s="1421">
        <v>205.03</v>
      </c>
      <c r="G107" s="1414">
        <v>287.04000000000002</v>
      </c>
      <c r="H107" s="1404"/>
      <c r="I107" s="1420">
        <v>99</v>
      </c>
      <c r="J107" s="1421">
        <v>208.63</v>
      </c>
      <c r="K107" s="1414">
        <v>292.08999999999997</v>
      </c>
      <c r="L107" s="253"/>
      <c r="M107" s="535">
        <v>99</v>
      </c>
      <c r="N107" s="536">
        <v>212.24</v>
      </c>
      <c r="O107" s="529">
        <v>297.13</v>
      </c>
      <c r="P107" s="253"/>
      <c r="Q107" s="535">
        <v>99</v>
      </c>
      <c r="R107" s="536">
        <v>215.84</v>
      </c>
      <c r="S107" s="529">
        <v>302.18</v>
      </c>
      <c r="T107" s="253"/>
      <c r="U107" s="535">
        <v>99</v>
      </c>
      <c r="V107" s="536">
        <v>219.44</v>
      </c>
      <c r="W107" s="529">
        <v>307.22000000000003</v>
      </c>
      <c r="X107" s="253"/>
      <c r="Y107" s="535">
        <v>99</v>
      </c>
      <c r="Z107" s="536">
        <v>223.05</v>
      </c>
      <c r="AA107" s="529">
        <v>312.27</v>
      </c>
      <c r="AB107" s="253"/>
      <c r="AC107" s="535">
        <v>99</v>
      </c>
      <c r="AD107" s="536">
        <v>226.65</v>
      </c>
      <c r="AE107" s="529">
        <v>317.31</v>
      </c>
      <c r="AF107" s="253"/>
      <c r="AG107" s="535">
        <v>99</v>
      </c>
      <c r="AH107" s="536">
        <v>230.25</v>
      </c>
      <c r="AI107" s="529">
        <v>322.36</v>
      </c>
      <c r="AJ107" s="253"/>
      <c r="AK107" s="535">
        <v>99</v>
      </c>
      <c r="AL107" s="536">
        <v>233.86</v>
      </c>
      <c r="AM107" s="529">
        <v>327.39999999999998</v>
      </c>
      <c r="AN107" s="253"/>
      <c r="AO107" s="535">
        <v>99</v>
      </c>
      <c r="AP107" s="536">
        <v>237.46</v>
      </c>
      <c r="AQ107" s="529">
        <v>332.45</v>
      </c>
      <c r="AR107" s="253"/>
      <c r="AS107" s="535">
        <v>99</v>
      </c>
      <c r="AT107" s="536">
        <v>241.06</v>
      </c>
      <c r="AU107" s="529">
        <v>337.49</v>
      </c>
      <c r="AV107" s="253"/>
      <c r="AW107" s="535">
        <v>99</v>
      </c>
      <c r="AX107" s="536">
        <v>244.67</v>
      </c>
      <c r="AY107" s="529">
        <v>342.54</v>
      </c>
      <c r="AZ107" s="253"/>
      <c r="BA107" s="535">
        <v>99</v>
      </c>
      <c r="BB107" s="536">
        <v>248.27</v>
      </c>
      <c r="BC107" s="529">
        <v>347.58</v>
      </c>
      <c r="BD107" s="253"/>
      <c r="BE107" s="535">
        <v>99</v>
      </c>
      <c r="BF107" s="536">
        <v>251.88</v>
      </c>
      <c r="BG107" s="529">
        <v>352.63</v>
      </c>
      <c r="BH107" s="253"/>
      <c r="BI107" s="535">
        <v>99</v>
      </c>
      <c r="BJ107" s="536">
        <v>255.48</v>
      </c>
      <c r="BK107" s="529">
        <v>357.67</v>
      </c>
      <c r="BL107" s="253"/>
    </row>
    <row r="108" spans="1:64" ht="23.25">
      <c r="A108" s="263">
        <v>100</v>
      </c>
      <c r="B108" s="1437">
        <f t="shared" si="2"/>
        <v>221.54</v>
      </c>
      <c r="C108" s="1438">
        <f t="shared" si="3"/>
        <v>310.16000000000003</v>
      </c>
      <c r="D108" s="253"/>
      <c r="E108" s="1420">
        <v>100</v>
      </c>
      <c r="F108" s="1421">
        <v>206.98</v>
      </c>
      <c r="G108" s="1414">
        <v>289.77999999999997</v>
      </c>
      <c r="H108" s="1404"/>
      <c r="I108" s="1420">
        <v>100</v>
      </c>
      <c r="J108" s="1421">
        <v>210.62</v>
      </c>
      <c r="K108" s="1414">
        <v>294.87</v>
      </c>
      <c r="L108" s="253"/>
      <c r="M108" s="535">
        <v>100</v>
      </c>
      <c r="N108" s="536">
        <v>214.26</v>
      </c>
      <c r="O108" s="529">
        <v>299.97000000000003</v>
      </c>
      <c r="P108" s="253"/>
      <c r="Q108" s="535">
        <v>100</v>
      </c>
      <c r="R108" s="536">
        <v>217.9</v>
      </c>
      <c r="S108" s="529">
        <v>305.06</v>
      </c>
      <c r="T108" s="253"/>
      <c r="U108" s="535">
        <v>100</v>
      </c>
      <c r="V108" s="536">
        <v>221.54</v>
      </c>
      <c r="W108" s="529">
        <v>310.16000000000003</v>
      </c>
      <c r="X108" s="253"/>
      <c r="Y108" s="535">
        <v>100</v>
      </c>
      <c r="Z108" s="536">
        <v>225.18</v>
      </c>
      <c r="AA108" s="529">
        <v>315.26</v>
      </c>
      <c r="AB108" s="253"/>
      <c r="AC108" s="535">
        <v>100</v>
      </c>
      <c r="AD108" s="536">
        <v>228.82</v>
      </c>
      <c r="AE108" s="529">
        <v>320.35000000000002</v>
      </c>
      <c r="AF108" s="253"/>
      <c r="AG108" s="535">
        <v>100</v>
      </c>
      <c r="AH108" s="536">
        <v>232.46</v>
      </c>
      <c r="AI108" s="529">
        <v>325.45</v>
      </c>
      <c r="AJ108" s="253"/>
      <c r="AK108" s="535">
        <v>100</v>
      </c>
      <c r="AL108" s="536">
        <v>236.1</v>
      </c>
      <c r="AM108" s="529">
        <v>330.54</v>
      </c>
      <c r="AN108" s="253"/>
      <c r="AO108" s="535">
        <v>100</v>
      </c>
      <c r="AP108" s="536">
        <v>239.74</v>
      </c>
      <c r="AQ108" s="529">
        <v>335.64</v>
      </c>
      <c r="AR108" s="253"/>
      <c r="AS108" s="535">
        <v>100</v>
      </c>
      <c r="AT108" s="536">
        <v>243.38</v>
      </c>
      <c r="AU108" s="529">
        <v>340.74</v>
      </c>
      <c r="AV108" s="253"/>
      <c r="AW108" s="535">
        <v>100</v>
      </c>
      <c r="AX108" s="536">
        <v>247.02</v>
      </c>
      <c r="AY108" s="529">
        <v>345.83</v>
      </c>
      <c r="AZ108" s="253"/>
      <c r="BA108" s="535">
        <v>100</v>
      </c>
      <c r="BB108" s="536">
        <v>250.66</v>
      </c>
      <c r="BC108" s="529">
        <v>350.93</v>
      </c>
      <c r="BD108" s="253"/>
      <c r="BE108" s="535">
        <v>100</v>
      </c>
      <c r="BF108" s="536">
        <v>254.3</v>
      </c>
      <c r="BG108" s="529">
        <v>356.02</v>
      </c>
      <c r="BH108" s="253"/>
      <c r="BI108" s="535">
        <v>100</v>
      </c>
      <c r="BJ108" s="536">
        <v>257.94</v>
      </c>
      <c r="BK108" s="529">
        <v>361.12</v>
      </c>
      <c r="BL108" s="253"/>
    </row>
    <row r="109" spans="1:64" ht="23.25">
      <c r="A109" s="263">
        <v>101</v>
      </c>
      <c r="B109" s="1437">
        <f t="shared" si="2"/>
        <v>223.82</v>
      </c>
      <c r="C109" s="1438">
        <f t="shared" si="3"/>
        <v>313.35000000000002</v>
      </c>
      <c r="D109" s="253"/>
      <c r="E109" s="1420">
        <v>101</v>
      </c>
      <c r="F109" s="1421">
        <v>209.11</v>
      </c>
      <c r="G109" s="1414">
        <v>292.76</v>
      </c>
      <c r="H109" s="1404"/>
      <c r="I109" s="1420">
        <v>101</v>
      </c>
      <c r="J109" s="1421">
        <v>212.79</v>
      </c>
      <c r="K109" s="1414">
        <v>297.91000000000003</v>
      </c>
      <c r="L109" s="253"/>
      <c r="M109" s="535">
        <v>101</v>
      </c>
      <c r="N109" s="536">
        <v>216.47</v>
      </c>
      <c r="O109" s="529">
        <v>303.05</v>
      </c>
      <c r="P109" s="253"/>
      <c r="Q109" s="535">
        <v>101</v>
      </c>
      <c r="R109" s="536">
        <v>220.14</v>
      </c>
      <c r="S109" s="529">
        <v>308.2</v>
      </c>
      <c r="T109" s="253"/>
      <c r="U109" s="535">
        <v>101</v>
      </c>
      <c r="V109" s="536">
        <v>223.82</v>
      </c>
      <c r="W109" s="529">
        <v>313.35000000000002</v>
      </c>
      <c r="X109" s="253"/>
      <c r="Y109" s="535">
        <v>101</v>
      </c>
      <c r="Z109" s="536">
        <v>227.5</v>
      </c>
      <c r="AA109" s="529">
        <v>318.49</v>
      </c>
      <c r="AB109" s="253"/>
      <c r="AC109" s="535">
        <v>101</v>
      </c>
      <c r="AD109" s="536">
        <v>231.17</v>
      </c>
      <c r="AE109" s="529">
        <v>323.64</v>
      </c>
      <c r="AF109" s="253"/>
      <c r="AG109" s="535">
        <v>101</v>
      </c>
      <c r="AH109" s="536">
        <v>234.85</v>
      </c>
      <c r="AI109" s="529">
        <v>328.79</v>
      </c>
      <c r="AJ109" s="253"/>
      <c r="AK109" s="535">
        <v>101</v>
      </c>
      <c r="AL109" s="536">
        <v>238.53</v>
      </c>
      <c r="AM109" s="529">
        <v>333.94</v>
      </c>
      <c r="AN109" s="253"/>
      <c r="AO109" s="535">
        <v>101</v>
      </c>
      <c r="AP109" s="536">
        <v>242.2</v>
      </c>
      <c r="AQ109" s="529">
        <v>339.08</v>
      </c>
      <c r="AR109" s="253"/>
      <c r="AS109" s="535">
        <v>101</v>
      </c>
      <c r="AT109" s="536">
        <v>245.88</v>
      </c>
      <c r="AU109" s="529">
        <v>344.23</v>
      </c>
      <c r="AV109" s="253"/>
      <c r="AW109" s="535">
        <v>101</v>
      </c>
      <c r="AX109" s="536">
        <v>249.55</v>
      </c>
      <c r="AY109" s="529">
        <v>349.38</v>
      </c>
      <c r="AZ109" s="253"/>
      <c r="BA109" s="535">
        <v>101</v>
      </c>
      <c r="BB109" s="536">
        <v>253.23</v>
      </c>
      <c r="BC109" s="529">
        <v>354.52</v>
      </c>
      <c r="BD109" s="253"/>
      <c r="BE109" s="535">
        <v>101</v>
      </c>
      <c r="BF109" s="536">
        <v>256.91000000000003</v>
      </c>
      <c r="BG109" s="529">
        <v>359.67</v>
      </c>
      <c r="BH109" s="253"/>
      <c r="BI109" s="535">
        <v>101</v>
      </c>
      <c r="BJ109" s="536">
        <v>260.58</v>
      </c>
      <c r="BK109" s="529">
        <v>364.82</v>
      </c>
      <c r="BL109" s="253"/>
    </row>
    <row r="110" spans="1:64" ht="23.25">
      <c r="A110" s="263">
        <v>102</v>
      </c>
      <c r="B110" s="1437">
        <f t="shared" si="2"/>
        <v>225.93</v>
      </c>
      <c r="C110" s="1438">
        <f t="shared" si="3"/>
        <v>316.3</v>
      </c>
      <c r="D110" s="253"/>
      <c r="E110" s="1420">
        <v>102</v>
      </c>
      <c r="F110" s="1421">
        <v>211.08</v>
      </c>
      <c r="G110" s="1414">
        <v>295.51</v>
      </c>
      <c r="H110" s="1404"/>
      <c r="I110" s="1420">
        <v>102</v>
      </c>
      <c r="J110" s="1421">
        <v>214.79</v>
      </c>
      <c r="K110" s="1414">
        <v>300.70999999999998</v>
      </c>
      <c r="L110" s="253"/>
      <c r="M110" s="535">
        <v>102</v>
      </c>
      <c r="N110" s="536">
        <v>218.51</v>
      </c>
      <c r="O110" s="529">
        <v>305.91000000000003</v>
      </c>
      <c r="P110" s="253"/>
      <c r="Q110" s="535">
        <v>102</v>
      </c>
      <c r="R110" s="536">
        <v>222.22</v>
      </c>
      <c r="S110" s="529">
        <v>311.11</v>
      </c>
      <c r="T110" s="253"/>
      <c r="U110" s="535">
        <v>102</v>
      </c>
      <c r="V110" s="536">
        <v>225.93</v>
      </c>
      <c r="W110" s="529">
        <v>316.3</v>
      </c>
      <c r="X110" s="253"/>
      <c r="Y110" s="535">
        <v>102</v>
      </c>
      <c r="Z110" s="536">
        <v>229.64</v>
      </c>
      <c r="AA110" s="529">
        <v>321.5</v>
      </c>
      <c r="AB110" s="253"/>
      <c r="AC110" s="535">
        <v>102</v>
      </c>
      <c r="AD110" s="536">
        <v>233.36</v>
      </c>
      <c r="AE110" s="529">
        <v>326.7</v>
      </c>
      <c r="AF110" s="253"/>
      <c r="AG110" s="535">
        <v>102</v>
      </c>
      <c r="AH110" s="536">
        <v>237.07</v>
      </c>
      <c r="AI110" s="529">
        <v>331.9</v>
      </c>
      <c r="AJ110" s="253"/>
      <c r="AK110" s="535">
        <v>102</v>
      </c>
      <c r="AL110" s="536">
        <v>240.78</v>
      </c>
      <c r="AM110" s="529">
        <v>337.1</v>
      </c>
      <c r="AN110" s="253"/>
      <c r="AO110" s="535">
        <v>102</v>
      </c>
      <c r="AP110" s="536">
        <v>244.5</v>
      </c>
      <c r="AQ110" s="529">
        <v>342.29</v>
      </c>
      <c r="AR110" s="253"/>
      <c r="AS110" s="535">
        <v>102</v>
      </c>
      <c r="AT110" s="536">
        <v>248.21</v>
      </c>
      <c r="AU110" s="529">
        <v>347.49</v>
      </c>
      <c r="AV110" s="253"/>
      <c r="AW110" s="535">
        <v>102</v>
      </c>
      <c r="AX110" s="536">
        <v>251.92</v>
      </c>
      <c r="AY110" s="529">
        <v>352.69</v>
      </c>
      <c r="AZ110" s="253"/>
      <c r="BA110" s="535">
        <v>102</v>
      </c>
      <c r="BB110" s="536">
        <v>255.63</v>
      </c>
      <c r="BC110" s="529">
        <v>357.89</v>
      </c>
      <c r="BD110" s="253"/>
      <c r="BE110" s="535">
        <v>102</v>
      </c>
      <c r="BF110" s="536">
        <v>259.35000000000002</v>
      </c>
      <c r="BG110" s="529">
        <v>363.09</v>
      </c>
      <c r="BH110" s="253"/>
      <c r="BI110" s="535">
        <v>102</v>
      </c>
      <c r="BJ110" s="536">
        <v>263.06</v>
      </c>
      <c r="BK110" s="529">
        <v>368.28</v>
      </c>
      <c r="BL110" s="253"/>
    </row>
    <row r="111" spans="1:64" ht="23.25">
      <c r="A111" s="263">
        <v>103</v>
      </c>
      <c r="B111" s="1437">
        <f t="shared" si="2"/>
        <v>228.23</v>
      </c>
      <c r="C111" s="1438">
        <f t="shared" si="3"/>
        <v>319.52</v>
      </c>
      <c r="D111" s="253"/>
      <c r="E111" s="1420">
        <v>103</v>
      </c>
      <c r="F111" s="1421">
        <v>213.23</v>
      </c>
      <c r="G111" s="1414">
        <v>298.52999999999997</v>
      </c>
      <c r="H111" s="1404"/>
      <c r="I111" s="1420">
        <v>103</v>
      </c>
      <c r="J111" s="1421">
        <v>216.98</v>
      </c>
      <c r="K111" s="1414">
        <v>303.77</v>
      </c>
      <c r="L111" s="253"/>
      <c r="M111" s="535">
        <v>103</v>
      </c>
      <c r="N111" s="536">
        <v>220.73</v>
      </c>
      <c r="O111" s="529">
        <v>309.02</v>
      </c>
      <c r="P111" s="253"/>
      <c r="Q111" s="535">
        <v>103</v>
      </c>
      <c r="R111" s="536">
        <v>224.48</v>
      </c>
      <c r="S111" s="529">
        <v>314.27</v>
      </c>
      <c r="T111" s="253"/>
      <c r="U111" s="535">
        <v>103</v>
      </c>
      <c r="V111" s="536">
        <v>228.23</v>
      </c>
      <c r="W111" s="529">
        <v>319.52</v>
      </c>
      <c r="X111" s="253"/>
      <c r="Y111" s="535">
        <v>103</v>
      </c>
      <c r="Z111" s="536">
        <v>231.98</v>
      </c>
      <c r="AA111" s="529">
        <v>324.77</v>
      </c>
      <c r="AB111" s="253"/>
      <c r="AC111" s="535">
        <v>103</v>
      </c>
      <c r="AD111" s="536">
        <v>235.73</v>
      </c>
      <c r="AE111" s="529">
        <v>330.02</v>
      </c>
      <c r="AF111" s="253"/>
      <c r="AG111" s="535">
        <v>103</v>
      </c>
      <c r="AH111" s="536">
        <v>239.48</v>
      </c>
      <c r="AI111" s="529">
        <v>335.27</v>
      </c>
      <c r="AJ111" s="253"/>
      <c r="AK111" s="535">
        <v>103</v>
      </c>
      <c r="AL111" s="536">
        <v>243.23</v>
      </c>
      <c r="AM111" s="529">
        <v>340.52</v>
      </c>
      <c r="AN111" s="253"/>
      <c r="AO111" s="535">
        <v>103</v>
      </c>
      <c r="AP111" s="536">
        <v>246.98</v>
      </c>
      <c r="AQ111" s="529">
        <v>345.77</v>
      </c>
      <c r="AR111" s="253"/>
      <c r="AS111" s="535">
        <v>103</v>
      </c>
      <c r="AT111" s="536">
        <v>250.72</v>
      </c>
      <c r="AU111" s="529">
        <v>351.01</v>
      </c>
      <c r="AV111" s="253"/>
      <c r="AW111" s="535">
        <v>103</v>
      </c>
      <c r="AX111" s="536">
        <v>254.47</v>
      </c>
      <c r="AY111" s="529">
        <v>356.26</v>
      </c>
      <c r="AZ111" s="253"/>
      <c r="BA111" s="535">
        <v>103</v>
      </c>
      <c r="BB111" s="536">
        <v>258.22000000000003</v>
      </c>
      <c r="BC111" s="529">
        <v>361.51</v>
      </c>
      <c r="BD111" s="253"/>
      <c r="BE111" s="535">
        <v>103</v>
      </c>
      <c r="BF111" s="536">
        <v>261.97000000000003</v>
      </c>
      <c r="BG111" s="529">
        <v>366.76</v>
      </c>
      <c r="BH111" s="253"/>
      <c r="BI111" s="535">
        <v>103</v>
      </c>
      <c r="BJ111" s="536">
        <v>265.72000000000003</v>
      </c>
      <c r="BK111" s="529">
        <v>372.01</v>
      </c>
      <c r="BL111" s="253"/>
    </row>
    <row r="112" spans="1:64" ht="23.25">
      <c r="A112" s="263">
        <v>104</v>
      </c>
      <c r="B112" s="1437">
        <f t="shared" si="2"/>
        <v>230.35</v>
      </c>
      <c r="C112" s="1438">
        <f t="shared" si="3"/>
        <v>322.5</v>
      </c>
      <c r="D112" s="253"/>
      <c r="E112" s="1420">
        <v>104</v>
      </c>
      <c r="F112" s="1421">
        <v>215.21</v>
      </c>
      <c r="G112" s="1414">
        <v>301.3</v>
      </c>
      <c r="H112" s="1404"/>
      <c r="I112" s="1420">
        <v>104</v>
      </c>
      <c r="J112" s="1421">
        <v>219</v>
      </c>
      <c r="K112" s="1414">
        <v>306.60000000000002</v>
      </c>
      <c r="L112" s="253"/>
      <c r="M112" s="535">
        <v>104</v>
      </c>
      <c r="N112" s="536">
        <v>222.78</v>
      </c>
      <c r="O112" s="529">
        <v>311.89999999999998</v>
      </c>
      <c r="P112" s="253"/>
      <c r="Q112" s="535">
        <v>104</v>
      </c>
      <c r="R112" s="536">
        <v>226.57</v>
      </c>
      <c r="S112" s="529">
        <v>317.2</v>
      </c>
      <c r="T112" s="253"/>
      <c r="U112" s="535">
        <v>104</v>
      </c>
      <c r="V112" s="536">
        <v>230.35</v>
      </c>
      <c r="W112" s="529">
        <v>322.5</v>
      </c>
      <c r="X112" s="253"/>
      <c r="Y112" s="535">
        <v>104</v>
      </c>
      <c r="Z112" s="536">
        <v>234.14</v>
      </c>
      <c r="AA112" s="529">
        <v>327.8</v>
      </c>
      <c r="AB112" s="253"/>
      <c r="AC112" s="535">
        <v>104</v>
      </c>
      <c r="AD112" s="536">
        <v>237.93</v>
      </c>
      <c r="AE112" s="529">
        <v>333.1</v>
      </c>
      <c r="AF112" s="253"/>
      <c r="AG112" s="535">
        <v>104</v>
      </c>
      <c r="AH112" s="536">
        <v>241.71</v>
      </c>
      <c r="AI112" s="529">
        <v>338.4</v>
      </c>
      <c r="AJ112" s="253"/>
      <c r="AK112" s="535">
        <v>104</v>
      </c>
      <c r="AL112" s="536">
        <v>245.5</v>
      </c>
      <c r="AM112" s="529">
        <v>343.7</v>
      </c>
      <c r="AN112" s="253"/>
      <c r="AO112" s="535">
        <v>104</v>
      </c>
      <c r="AP112" s="536">
        <v>249.28</v>
      </c>
      <c r="AQ112" s="529">
        <v>349</v>
      </c>
      <c r="AR112" s="253"/>
      <c r="AS112" s="535">
        <v>104</v>
      </c>
      <c r="AT112" s="536">
        <v>253.07</v>
      </c>
      <c r="AU112" s="529">
        <v>354.3</v>
      </c>
      <c r="AV112" s="253"/>
      <c r="AW112" s="535">
        <v>104</v>
      </c>
      <c r="AX112" s="536">
        <v>256.85000000000002</v>
      </c>
      <c r="AY112" s="529">
        <v>359.6</v>
      </c>
      <c r="AZ112" s="253"/>
      <c r="BA112" s="535">
        <v>104</v>
      </c>
      <c r="BB112" s="536">
        <v>260.64</v>
      </c>
      <c r="BC112" s="529">
        <v>364.9</v>
      </c>
      <c r="BD112" s="253"/>
      <c r="BE112" s="535">
        <v>104</v>
      </c>
      <c r="BF112" s="536">
        <v>267.07</v>
      </c>
      <c r="BG112" s="529">
        <v>373.9</v>
      </c>
      <c r="BH112" s="253"/>
      <c r="BI112" s="535">
        <v>104</v>
      </c>
      <c r="BJ112" s="536">
        <v>268.20999999999998</v>
      </c>
      <c r="BK112" s="529">
        <v>375.5</v>
      </c>
      <c r="BL112" s="253"/>
    </row>
    <row r="113" spans="1:64" ht="23.25">
      <c r="A113" s="263">
        <v>105</v>
      </c>
      <c r="B113" s="1437">
        <f t="shared" si="2"/>
        <v>232.67</v>
      </c>
      <c r="C113" s="1438">
        <f t="shared" si="3"/>
        <v>325.74</v>
      </c>
      <c r="D113" s="253"/>
      <c r="E113" s="1420">
        <v>105</v>
      </c>
      <c r="F113" s="1421">
        <v>217.39</v>
      </c>
      <c r="G113" s="1414">
        <v>304.33999999999997</v>
      </c>
      <c r="H113" s="1404"/>
      <c r="I113" s="1420">
        <v>105</v>
      </c>
      <c r="J113" s="1421">
        <v>221.21</v>
      </c>
      <c r="K113" s="1414">
        <v>309.69</v>
      </c>
      <c r="L113" s="253"/>
      <c r="M113" s="535">
        <v>105</v>
      </c>
      <c r="N113" s="536">
        <v>225.03</v>
      </c>
      <c r="O113" s="529">
        <v>315.04000000000002</v>
      </c>
      <c r="P113" s="253"/>
      <c r="Q113" s="535">
        <v>105</v>
      </c>
      <c r="R113" s="536">
        <v>228.85</v>
      </c>
      <c r="S113" s="529">
        <v>320.39</v>
      </c>
      <c r="T113" s="253"/>
      <c r="U113" s="535">
        <v>105</v>
      </c>
      <c r="V113" s="536">
        <v>232.67</v>
      </c>
      <c r="W113" s="529">
        <v>325.74</v>
      </c>
      <c r="X113" s="253"/>
      <c r="Y113" s="535">
        <v>105</v>
      </c>
      <c r="Z113" s="536">
        <v>236.5</v>
      </c>
      <c r="AA113" s="529">
        <v>331.09</v>
      </c>
      <c r="AB113" s="253"/>
      <c r="AC113" s="535">
        <v>105</v>
      </c>
      <c r="AD113" s="536">
        <v>240.32</v>
      </c>
      <c r="AE113" s="529">
        <v>336.44</v>
      </c>
      <c r="AF113" s="253"/>
      <c r="AG113" s="535">
        <v>105</v>
      </c>
      <c r="AH113" s="536">
        <v>244.14</v>
      </c>
      <c r="AI113" s="529">
        <v>341.79</v>
      </c>
      <c r="AJ113" s="253"/>
      <c r="AK113" s="535">
        <v>105</v>
      </c>
      <c r="AL113" s="536">
        <v>247.96</v>
      </c>
      <c r="AM113" s="529">
        <v>347.15</v>
      </c>
      <c r="AN113" s="253"/>
      <c r="AO113" s="535">
        <v>105</v>
      </c>
      <c r="AP113" s="536">
        <v>251.78</v>
      </c>
      <c r="AQ113" s="529">
        <v>352.5</v>
      </c>
      <c r="AR113" s="253"/>
      <c r="AS113" s="535">
        <v>105</v>
      </c>
      <c r="AT113" s="536">
        <v>255.61</v>
      </c>
      <c r="AU113" s="529">
        <v>357.85</v>
      </c>
      <c r="AV113" s="253"/>
      <c r="AW113" s="535">
        <v>105</v>
      </c>
      <c r="AX113" s="536">
        <v>259.43</v>
      </c>
      <c r="AY113" s="529">
        <v>363.2</v>
      </c>
      <c r="AZ113" s="253"/>
      <c r="BA113" s="535">
        <v>105</v>
      </c>
      <c r="BB113" s="536">
        <v>263.25</v>
      </c>
      <c r="BC113" s="529">
        <v>368.55</v>
      </c>
      <c r="BD113" s="253"/>
      <c r="BE113" s="535">
        <v>105</v>
      </c>
      <c r="BF113" s="536">
        <v>267.07</v>
      </c>
      <c r="BG113" s="529">
        <v>373.9</v>
      </c>
      <c r="BH113" s="253"/>
      <c r="BI113" s="535">
        <v>105</v>
      </c>
      <c r="BJ113" s="536">
        <v>270.89</v>
      </c>
      <c r="BK113" s="529">
        <v>379.25</v>
      </c>
      <c r="BL113" s="253"/>
    </row>
    <row r="114" spans="1:64" ht="23.25">
      <c r="A114" s="263">
        <v>106</v>
      </c>
      <c r="B114" s="1437">
        <f t="shared" si="2"/>
        <v>234.81</v>
      </c>
      <c r="C114" s="1438">
        <f t="shared" si="3"/>
        <v>328.74</v>
      </c>
      <c r="D114" s="253"/>
      <c r="E114" s="1420">
        <v>106</v>
      </c>
      <c r="F114" s="1421">
        <v>219.38</v>
      </c>
      <c r="G114" s="1414">
        <v>307.13</v>
      </c>
      <c r="H114" s="1404"/>
      <c r="I114" s="1420">
        <v>106</v>
      </c>
      <c r="J114" s="1421">
        <v>223.24</v>
      </c>
      <c r="K114" s="1414">
        <v>312.52999999999997</v>
      </c>
      <c r="L114" s="253"/>
      <c r="M114" s="535">
        <v>106</v>
      </c>
      <c r="N114" s="536">
        <v>227.1</v>
      </c>
      <c r="O114" s="529">
        <v>317.94</v>
      </c>
      <c r="P114" s="253"/>
      <c r="Q114" s="535">
        <v>106</v>
      </c>
      <c r="R114" s="536">
        <v>230.96</v>
      </c>
      <c r="S114" s="529">
        <v>323.33999999999997</v>
      </c>
      <c r="T114" s="253"/>
      <c r="U114" s="535">
        <v>106</v>
      </c>
      <c r="V114" s="536">
        <v>234.81</v>
      </c>
      <c r="W114" s="529">
        <v>328.74</v>
      </c>
      <c r="X114" s="253"/>
      <c r="Y114" s="535">
        <v>106</v>
      </c>
      <c r="Z114" s="536">
        <v>238.67</v>
      </c>
      <c r="AA114" s="529">
        <v>334.14</v>
      </c>
      <c r="AB114" s="253"/>
      <c r="AC114" s="535">
        <v>106</v>
      </c>
      <c r="AD114" s="536">
        <v>242.53</v>
      </c>
      <c r="AE114" s="529">
        <v>339.54</v>
      </c>
      <c r="AF114" s="253"/>
      <c r="AG114" s="535">
        <v>106</v>
      </c>
      <c r="AH114" s="536">
        <v>246.39</v>
      </c>
      <c r="AI114" s="529">
        <v>344.94</v>
      </c>
      <c r="AJ114" s="253"/>
      <c r="AK114" s="535">
        <v>106</v>
      </c>
      <c r="AL114" s="536">
        <v>250.25</v>
      </c>
      <c r="AM114" s="529">
        <v>350.35</v>
      </c>
      <c r="AN114" s="253"/>
      <c r="AO114" s="535">
        <v>106</v>
      </c>
      <c r="AP114" s="536">
        <v>254.11</v>
      </c>
      <c r="AQ114" s="529">
        <v>355.75</v>
      </c>
      <c r="AR114" s="253"/>
      <c r="AS114" s="535">
        <v>106</v>
      </c>
      <c r="AT114" s="536">
        <v>257.95999999999998</v>
      </c>
      <c r="AU114" s="529">
        <v>361.15</v>
      </c>
      <c r="AV114" s="253"/>
      <c r="AW114" s="535">
        <v>106</v>
      </c>
      <c r="AX114" s="536">
        <v>261.82</v>
      </c>
      <c r="AY114" s="529">
        <v>366.55</v>
      </c>
      <c r="AZ114" s="253"/>
      <c r="BA114" s="535">
        <v>106</v>
      </c>
      <c r="BB114" s="536">
        <v>265.68</v>
      </c>
      <c r="BC114" s="529">
        <v>371.95</v>
      </c>
      <c r="BD114" s="253"/>
      <c r="BE114" s="535">
        <v>106</v>
      </c>
      <c r="BF114" s="536">
        <v>269.54000000000002</v>
      </c>
      <c r="BG114" s="529">
        <v>377.35</v>
      </c>
      <c r="BH114" s="253"/>
      <c r="BI114" s="535">
        <v>106</v>
      </c>
      <c r="BJ114" s="536">
        <v>273.39999999999998</v>
      </c>
      <c r="BK114" s="529">
        <v>382.76</v>
      </c>
      <c r="BL114" s="253"/>
    </row>
    <row r="115" spans="1:64" ht="23.25">
      <c r="A115" s="263">
        <v>107</v>
      </c>
      <c r="B115" s="1437">
        <f t="shared" si="2"/>
        <v>236.96</v>
      </c>
      <c r="C115" s="1438">
        <f t="shared" si="3"/>
        <v>331.74</v>
      </c>
      <c r="D115" s="253"/>
      <c r="E115" s="1420">
        <v>107</v>
      </c>
      <c r="F115" s="1421">
        <v>221.38</v>
      </c>
      <c r="G115" s="1414">
        <v>309.93</v>
      </c>
      <c r="H115" s="1404"/>
      <c r="I115" s="1420">
        <v>107</v>
      </c>
      <c r="J115" s="1421">
        <v>225.28</v>
      </c>
      <c r="K115" s="1414">
        <v>315.39</v>
      </c>
      <c r="L115" s="253"/>
      <c r="M115" s="535">
        <v>107</v>
      </c>
      <c r="N115" s="536">
        <v>229.17</v>
      </c>
      <c r="O115" s="529">
        <v>320.83999999999997</v>
      </c>
      <c r="P115" s="253"/>
      <c r="Q115" s="535">
        <v>107</v>
      </c>
      <c r="R115" s="536">
        <v>233.06</v>
      </c>
      <c r="S115" s="529">
        <v>326.29000000000002</v>
      </c>
      <c r="T115" s="253"/>
      <c r="U115" s="535">
        <v>107</v>
      </c>
      <c r="V115" s="536">
        <v>236.96</v>
      </c>
      <c r="W115" s="529">
        <v>331.74</v>
      </c>
      <c r="X115" s="253"/>
      <c r="Y115" s="535">
        <v>107</v>
      </c>
      <c r="Z115" s="536">
        <v>240.85</v>
      </c>
      <c r="AA115" s="529">
        <v>337.2</v>
      </c>
      <c r="AB115" s="253"/>
      <c r="AC115" s="535">
        <v>107</v>
      </c>
      <c r="AD115" s="536">
        <v>244.75</v>
      </c>
      <c r="AE115" s="529">
        <v>342.65</v>
      </c>
      <c r="AF115" s="253"/>
      <c r="AG115" s="535">
        <v>107</v>
      </c>
      <c r="AH115" s="536">
        <v>248.64</v>
      </c>
      <c r="AI115" s="529">
        <v>348.1</v>
      </c>
      <c r="AJ115" s="253"/>
      <c r="AK115" s="535">
        <v>107</v>
      </c>
      <c r="AL115" s="536">
        <v>252.54</v>
      </c>
      <c r="AM115" s="529">
        <v>353.55</v>
      </c>
      <c r="AN115" s="253"/>
      <c r="AO115" s="535">
        <v>107</v>
      </c>
      <c r="AP115" s="536">
        <v>256.43</v>
      </c>
      <c r="AQ115" s="529">
        <v>359.01</v>
      </c>
      <c r="AR115" s="253"/>
      <c r="AS115" s="535">
        <v>107</v>
      </c>
      <c r="AT115" s="536">
        <v>260.33</v>
      </c>
      <c r="AU115" s="529">
        <v>364.46</v>
      </c>
      <c r="AV115" s="253"/>
      <c r="AW115" s="535">
        <v>107</v>
      </c>
      <c r="AX115" s="536">
        <v>264.22000000000003</v>
      </c>
      <c r="AY115" s="529">
        <v>369.91</v>
      </c>
      <c r="AZ115" s="253"/>
      <c r="BA115" s="535">
        <v>107</v>
      </c>
      <c r="BB115" s="536">
        <v>268.12</v>
      </c>
      <c r="BC115" s="529">
        <v>375.37</v>
      </c>
      <c r="BD115" s="253"/>
      <c r="BE115" s="535">
        <v>107</v>
      </c>
      <c r="BF115" s="536">
        <v>272.01</v>
      </c>
      <c r="BG115" s="529">
        <v>380.82</v>
      </c>
      <c r="BH115" s="253"/>
      <c r="BI115" s="535">
        <v>107</v>
      </c>
      <c r="BJ115" s="536">
        <v>275.91000000000003</v>
      </c>
      <c r="BK115" s="529">
        <v>386.27</v>
      </c>
      <c r="BL115" s="253"/>
    </row>
    <row r="116" spans="1:64" ht="23.25">
      <c r="A116" s="263">
        <v>108</v>
      </c>
      <c r="B116" s="1437">
        <f t="shared" si="2"/>
        <v>239.11</v>
      </c>
      <c r="C116" s="1438">
        <f t="shared" si="3"/>
        <v>334.76</v>
      </c>
      <c r="D116" s="253"/>
      <c r="E116" s="1420">
        <v>108</v>
      </c>
      <c r="F116" s="1421">
        <v>223.39</v>
      </c>
      <c r="G116" s="1414">
        <v>312.74</v>
      </c>
      <c r="H116" s="1404"/>
      <c r="I116" s="1420">
        <v>108</v>
      </c>
      <c r="J116" s="1421">
        <v>227.32</v>
      </c>
      <c r="K116" s="1414">
        <v>318.25</v>
      </c>
      <c r="L116" s="253"/>
      <c r="M116" s="535">
        <v>108</v>
      </c>
      <c r="N116" s="536">
        <v>231.25</v>
      </c>
      <c r="O116" s="529">
        <v>323.75</v>
      </c>
      <c r="P116" s="253"/>
      <c r="Q116" s="535">
        <v>108</v>
      </c>
      <c r="R116" s="536">
        <v>235.18</v>
      </c>
      <c r="S116" s="529">
        <v>329.25</v>
      </c>
      <c r="T116" s="253"/>
      <c r="U116" s="535">
        <v>108</v>
      </c>
      <c r="V116" s="536">
        <v>239.11</v>
      </c>
      <c r="W116" s="529">
        <v>334.76</v>
      </c>
      <c r="X116" s="253"/>
      <c r="Y116" s="535">
        <v>108</v>
      </c>
      <c r="Z116" s="536">
        <v>243.04</v>
      </c>
      <c r="AA116" s="529">
        <v>340.26</v>
      </c>
      <c r="AB116" s="253"/>
      <c r="AC116" s="535">
        <v>108</v>
      </c>
      <c r="AD116" s="536">
        <v>246.97</v>
      </c>
      <c r="AE116" s="529">
        <v>345.76</v>
      </c>
      <c r="AF116" s="253"/>
      <c r="AG116" s="535">
        <v>108</v>
      </c>
      <c r="AH116" s="536">
        <v>250.91</v>
      </c>
      <c r="AI116" s="529">
        <v>351.27</v>
      </c>
      <c r="AJ116" s="253"/>
      <c r="AK116" s="535">
        <v>108</v>
      </c>
      <c r="AL116" s="536">
        <v>254.84</v>
      </c>
      <c r="AM116" s="529">
        <v>356.77</v>
      </c>
      <c r="AN116" s="253"/>
      <c r="AO116" s="535">
        <v>108</v>
      </c>
      <c r="AP116" s="536">
        <v>258.77</v>
      </c>
      <c r="AQ116" s="529">
        <v>362.28</v>
      </c>
      <c r="AR116" s="253"/>
      <c r="AS116" s="535">
        <v>108</v>
      </c>
      <c r="AT116" s="536">
        <v>262.7</v>
      </c>
      <c r="AU116" s="529">
        <v>367.78</v>
      </c>
      <c r="AV116" s="253"/>
      <c r="AW116" s="535">
        <v>108</v>
      </c>
      <c r="AX116" s="536">
        <v>266.63</v>
      </c>
      <c r="AY116" s="529">
        <v>373.28</v>
      </c>
      <c r="AZ116" s="253"/>
      <c r="BA116" s="535">
        <v>108</v>
      </c>
      <c r="BB116" s="536">
        <v>270.56</v>
      </c>
      <c r="BC116" s="529">
        <v>378.79</v>
      </c>
      <c r="BD116" s="253"/>
      <c r="BE116" s="535">
        <v>108</v>
      </c>
      <c r="BF116" s="536">
        <v>274.49</v>
      </c>
      <c r="BG116" s="529">
        <v>384.29</v>
      </c>
      <c r="BH116" s="253"/>
      <c r="BI116" s="535">
        <v>108</v>
      </c>
      <c r="BJ116" s="536">
        <v>278.42</v>
      </c>
      <c r="BK116" s="529">
        <v>389.79</v>
      </c>
      <c r="BL116" s="253"/>
    </row>
    <row r="117" spans="1:64" ht="23.25">
      <c r="A117" s="263">
        <v>109</v>
      </c>
      <c r="B117" s="1437">
        <f t="shared" si="2"/>
        <v>241.47</v>
      </c>
      <c r="C117" s="1438">
        <f t="shared" si="3"/>
        <v>338.06</v>
      </c>
      <c r="D117" s="253"/>
      <c r="E117" s="1420">
        <v>109</v>
      </c>
      <c r="F117" s="1421">
        <v>225.6</v>
      </c>
      <c r="G117" s="1414">
        <v>315.83999999999997</v>
      </c>
      <c r="H117" s="1404"/>
      <c r="I117" s="1420">
        <v>109</v>
      </c>
      <c r="J117" s="1421">
        <v>229.57</v>
      </c>
      <c r="K117" s="1414">
        <v>321.39999999999998</v>
      </c>
      <c r="L117" s="253"/>
      <c r="M117" s="535">
        <v>109</v>
      </c>
      <c r="N117" s="536">
        <v>233.54</v>
      </c>
      <c r="O117" s="529">
        <v>326.95</v>
      </c>
      <c r="P117" s="253"/>
      <c r="Q117" s="535">
        <v>109</v>
      </c>
      <c r="R117" s="536">
        <v>237.5</v>
      </c>
      <c r="S117" s="529">
        <v>332.51</v>
      </c>
      <c r="T117" s="253"/>
      <c r="U117" s="535">
        <v>109</v>
      </c>
      <c r="V117" s="536">
        <v>241.47</v>
      </c>
      <c r="W117" s="529">
        <v>338.06</v>
      </c>
      <c r="X117" s="253"/>
      <c r="Y117" s="535">
        <v>109</v>
      </c>
      <c r="Z117" s="536">
        <v>245.44</v>
      </c>
      <c r="AA117" s="529">
        <v>343.62</v>
      </c>
      <c r="AB117" s="253"/>
      <c r="AC117" s="535">
        <v>109</v>
      </c>
      <c r="AD117" s="536">
        <v>249.41</v>
      </c>
      <c r="AE117" s="529">
        <v>349.17</v>
      </c>
      <c r="AF117" s="253"/>
      <c r="AG117" s="535">
        <v>109</v>
      </c>
      <c r="AH117" s="536">
        <v>253.37</v>
      </c>
      <c r="AI117" s="529">
        <v>354.72</v>
      </c>
      <c r="AJ117" s="253"/>
      <c r="AK117" s="535">
        <v>109</v>
      </c>
      <c r="AL117" s="536">
        <v>257.33999999999997</v>
      </c>
      <c r="AM117" s="529">
        <v>360.28</v>
      </c>
      <c r="AN117" s="253"/>
      <c r="AO117" s="535">
        <v>109</v>
      </c>
      <c r="AP117" s="536">
        <v>261.31</v>
      </c>
      <c r="AQ117" s="529">
        <v>365.83</v>
      </c>
      <c r="AR117" s="253"/>
      <c r="AS117" s="535">
        <v>109</v>
      </c>
      <c r="AT117" s="536">
        <v>265.27999999999997</v>
      </c>
      <c r="AU117" s="529">
        <v>371.39</v>
      </c>
      <c r="AV117" s="253"/>
      <c r="AW117" s="535">
        <v>109</v>
      </c>
      <c r="AX117" s="536">
        <v>269.25</v>
      </c>
      <c r="AY117" s="529">
        <v>376.94</v>
      </c>
      <c r="AZ117" s="253"/>
      <c r="BA117" s="535">
        <v>109</v>
      </c>
      <c r="BB117" s="536">
        <v>273.20999999999998</v>
      </c>
      <c r="BC117" s="529">
        <v>382.5</v>
      </c>
      <c r="BD117" s="253"/>
      <c r="BE117" s="535">
        <v>109</v>
      </c>
      <c r="BF117" s="536">
        <v>277.18</v>
      </c>
      <c r="BG117" s="529">
        <v>388.05</v>
      </c>
      <c r="BH117" s="253"/>
      <c r="BI117" s="535">
        <v>109</v>
      </c>
      <c r="BJ117" s="536">
        <v>281.14999999999998</v>
      </c>
      <c r="BK117" s="529">
        <v>393.61</v>
      </c>
      <c r="BL117" s="253"/>
    </row>
    <row r="118" spans="1:64" ht="23.25">
      <c r="A118" s="263">
        <v>110</v>
      </c>
      <c r="B118" s="1437">
        <f t="shared" si="2"/>
        <v>243.64</v>
      </c>
      <c r="C118" s="1438">
        <f t="shared" si="3"/>
        <v>341.1</v>
      </c>
      <c r="D118" s="253"/>
      <c r="E118" s="1420">
        <v>110</v>
      </c>
      <c r="F118" s="1421">
        <v>227.62</v>
      </c>
      <c r="G118" s="1414">
        <v>318.67</v>
      </c>
      <c r="H118" s="1404"/>
      <c r="I118" s="1420">
        <v>110</v>
      </c>
      <c r="J118" s="1421">
        <v>231.63</v>
      </c>
      <c r="K118" s="1414">
        <v>324.27999999999997</v>
      </c>
      <c r="L118" s="253"/>
      <c r="M118" s="535">
        <v>110</v>
      </c>
      <c r="N118" s="536">
        <v>235.63</v>
      </c>
      <c r="O118" s="529">
        <v>329.89</v>
      </c>
      <c r="P118" s="253"/>
      <c r="Q118" s="535">
        <v>110</v>
      </c>
      <c r="R118" s="536">
        <v>239.64</v>
      </c>
      <c r="S118" s="529">
        <v>335.49</v>
      </c>
      <c r="T118" s="253"/>
      <c r="U118" s="535">
        <v>110</v>
      </c>
      <c r="V118" s="536">
        <v>243.64</v>
      </c>
      <c r="W118" s="529">
        <v>341.1</v>
      </c>
      <c r="X118" s="253"/>
      <c r="Y118" s="535">
        <v>110</v>
      </c>
      <c r="Z118" s="536">
        <v>247.64</v>
      </c>
      <c r="AA118" s="529">
        <v>346.7</v>
      </c>
      <c r="AB118" s="253"/>
      <c r="AC118" s="535">
        <v>110</v>
      </c>
      <c r="AD118" s="536">
        <v>251.65</v>
      </c>
      <c r="AE118" s="529">
        <v>352.31</v>
      </c>
      <c r="AF118" s="253"/>
      <c r="AG118" s="535">
        <v>110</v>
      </c>
      <c r="AH118" s="536">
        <v>255.65</v>
      </c>
      <c r="AI118" s="529">
        <v>357.91</v>
      </c>
      <c r="AJ118" s="253"/>
      <c r="AK118" s="535">
        <v>110</v>
      </c>
      <c r="AL118" s="536">
        <v>259.66000000000003</v>
      </c>
      <c r="AM118" s="529">
        <v>363.52</v>
      </c>
      <c r="AN118" s="253"/>
      <c r="AO118" s="535">
        <v>110</v>
      </c>
      <c r="AP118" s="536">
        <v>263.66000000000003</v>
      </c>
      <c r="AQ118" s="529">
        <v>369.13</v>
      </c>
      <c r="AR118" s="253"/>
      <c r="AS118" s="535">
        <v>110</v>
      </c>
      <c r="AT118" s="536">
        <v>267.66000000000003</v>
      </c>
      <c r="AU118" s="529">
        <v>374.73</v>
      </c>
      <c r="AV118" s="253"/>
      <c r="AW118" s="535">
        <v>110</v>
      </c>
      <c r="AX118" s="536">
        <v>271.67</v>
      </c>
      <c r="AY118" s="529">
        <v>380.34</v>
      </c>
      <c r="AZ118" s="253"/>
      <c r="BA118" s="535">
        <v>110</v>
      </c>
      <c r="BB118" s="536">
        <v>275.67</v>
      </c>
      <c r="BC118" s="529">
        <v>385.94</v>
      </c>
      <c r="BD118" s="253"/>
      <c r="BE118" s="535">
        <v>110</v>
      </c>
      <c r="BF118" s="536">
        <v>279.68</v>
      </c>
      <c r="BG118" s="529">
        <v>391.55</v>
      </c>
      <c r="BH118" s="253"/>
      <c r="BI118" s="535">
        <v>110</v>
      </c>
      <c r="BJ118" s="536">
        <v>283.68</v>
      </c>
      <c r="BK118" s="529">
        <v>397.15</v>
      </c>
      <c r="BL118" s="253"/>
    </row>
    <row r="119" spans="1:64" ht="23.25">
      <c r="A119" s="263">
        <v>111</v>
      </c>
      <c r="B119" s="1437">
        <f t="shared" si="2"/>
        <v>245.82</v>
      </c>
      <c r="C119" s="1438">
        <f t="shared" si="3"/>
        <v>344.14</v>
      </c>
      <c r="D119" s="253"/>
      <c r="E119" s="1420">
        <v>111</v>
      </c>
      <c r="F119" s="1421">
        <v>229.65</v>
      </c>
      <c r="G119" s="1414">
        <v>321.52</v>
      </c>
      <c r="H119" s="1404"/>
      <c r="I119" s="1420">
        <v>111</v>
      </c>
      <c r="J119" s="1421">
        <v>233.7</v>
      </c>
      <c r="K119" s="1414">
        <v>327.17</v>
      </c>
      <c r="L119" s="253"/>
      <c r="M119" s="535">
        <v>111</v>
      </c>
      <c r="N119" s="536">
        <v>237.74</v>
      </c>
      <c r="O119" s="529">
        <v>332.83</v>
      </c>
      <c r="P119" s="253"/>
      <c r="Q119" s="535">
        <v>111</v>
      </c>
      <c r="R119" s="536">
        <v>241.78</v>
      </c>
      <c r="S119" s="529">
        <v>338.49</v>
      </c>
      <c r="T119" s="253"/>
      <c r="U119" s="535">
        <v>111</v>
      </c>
      <c r="V119" s="536">
        <v>245.82</v>
      </c>
      <c r="W119" s="529">
        <v>344.14</v>
      </c>
      <c r="X119" s="253"/>
      <c r="Y119" s="535">
        <v>111</v>
      </c>
      <c r="Z119" s="536">
        <v>249.86</v>
      </c>
      <c r="AA119" s="529">
        <v>349.8</v>
      </c>
      <c r="AB119" s="253"/>
      <c r="AC119" s="535">
        <v>111</v>
      </c>
      <c r="AD119" s="536">
        <v>253.9</v>
      </c>
      <c r="AE119" s="529">
        <v>355.46</v>
      </c>
      <c r="AF119" s="253"/>
      <c r="AG119" s="535">
        <v>111</v>
      </c>
      <c r="AH119" s="536">
        <v>257.94</v>
      </c>
      <c r="AI119" s="529">
        <v>361.11</v>
      </c>
      <c r="AJ119" s="253"/>
      <c r="AK119" s="535">
        <v>111</v>
      </c>
      <c r="AL119" s="536">
        <v>261.98</v>
      </c>
      <c r="AM119" s="529">
        <v>366.77</v>
      </c>
      <c r="AN119" s="253"/>
      <c r="AO119" s="535">
        <v>111</v>
      </c>
      <c r="AP119" s="536">
        <v>266.02</v>
      </c>
      <c r="AQ119" s="529">
        <v>372.43</v>
      </c>
      <c r="AR119" s="253"/>
      <c r="AS119" s="535">
        <v>111</v>
      </c>
      <c r="AT119" s="536">
        <v>270.06</v>
      </c>
      <c r="AU119" s="529">
        <v>378.08</v>
      </c>
      <c r="AV119" s="253"/>
      <c r="AW119" s="535">
        <v>111</v>
      </c>
      <c r="AX119" s="536">
        <v>274.10000000000002</v>
      </c>
      <c r="AY119" s="529">
        <v>383.74</v>
      </c>
      <c r="AZ119" s="253"/>
      <c r="BA119" s="535">
        <v>111</v>
      </c>
      <c r="BB119" s="536">
        <v>278.14</v>
      </c>
      <c r="BC119" s="529">
        <v>389.4</v>
      </c>
      <c r="BD119" s="253"/>
      <c r="BE119" s="535">
        <v>111</v>
      </c>
      <c r="BF119" s="536">
        <v>282.18</v>
      </c>
      <c r="BG119" s="529">
        <v>395.05</v>
      </c>
      <c r="BH119" s="253"/>
      <c r="BI119" s="535">
        <v>111</v>
      </c>
      <c r="BJ119" s="536">
        <v>286.22000000000003</v>
      </c>
      <c r="BK119" s="529">
        <v>400.71</v>
      </c>
      <c r="BL119" s="253"/>
    </row>
    <row r="120" spans="1:64" ht="23.25">
      <c r="A120" s="263">
        <v>112</v>
      </c>
      <c r="B120" s="1437">
        <f t="shared" si="2"/>
        <v>248</v>
      </c>
      <c r="C120" s="1438">
        <f t="shared" si="3"/>
        <v>347.2</v>
      </c>
      <c r="D120" s="253"/>
      <c r="E120" s="1420">
        <v>112</v>
      </c>
      <c r="F120" s="1421">
        <v>231.69</v>
      </c>
      <c r="G120" s="1414">
        <v>324.37</v>
      </c>
      <c r="H120" s="1404"/>
      <c r="I120" s="1420">
        <v>112</v>
      </c>
      <c r="J120" s="1421">
        <v>235.77</v>
      </c>
      <c r="K120" s="1414">
        <v>330.08</v>
      </c>
      <c r="L120" s="253"/>
      <c r="M120" s="535">
        <v>112</v>
      </c>
      <c r="N120" s="536">
        <v>239.84</v>
      </c>
      <c r="O120" s="529">
        <v>335.78</v>
      </c>
      <c r="P120" s="253"/>
      <c r="Q120" s="535">
        <v>112</v>
      </c>
      <c r="R120" s="536">
        <v>243.92</v>
      </c>
      <c r="S120" s="529">
        <v>341.49</v>
      </c>
      <c r="T120" s="253"/>
      <c r="U120" s="535">
        <v>112</v>
      </c>
      <c r="V120" s="536">
        <v>248</v>
      </c>
      <c r="W120" s="529">
        <v>347.2</v>
      </c>
      <c r="X120" s="253"/>
      <c r="Y120" s="535">
        <v>112</v>
      </c>
      <c r="Z120" s="536">
        <v>252.08</v>
      </c>
      <c r="AA120" s="529">
        <v>352.91</v>
      </c>
      <c r="AB120" s="253"/>
      <c r="AC120" s="535">
        <v>112</v>
      </c>
      <c r="AD120" s="536">
        <v>256.14999999999998</v>
      </c>
      <c r="AE120" s="529">
        <v>358.61</v>
      </c>
      <c r="AF120" s="253"/>
      <c r="AG120" s="535">
        <v>112</v>
      </c>
      <c r="AH120" s="536">
        <v>260.23</v>
      </c>
      <c r="AI120" s="529">
        <v>364.32</v>
      </c>
      <c r="AJ120" s="253"/>
      <c r="AK120" s="535">
        <v>112</v>
      </c>
      <c r="AL120" s="536">
        <v>264.31</v>
      </c>
      <c r="AM120" s="529">
        <v>370.03</v>
      </c>
      <c r="AN120" s="253"/>
      <c r="AO120" s="535">
        <v>112</v>
      </c>
      <c r="AP120" s="536">
        <v>268.38</v>
      </c>
      <c r="AQ120" s="529">
        <v>375.74</v>
      </c>
      <c r="AR120" s="253"/>
      <c r="AS120" s="535">
        <v>112</v>
      </c>
      <c r="AT120" s="536">
        <v>272.45999999999998</v>
      </c>
      <c r="AU120" s="529">
        <v>381.44</v>
      </c>
      <c r="AV120" s="253"/>
      <c r="AW120" s="535">
        <v>112</v>
      </c>
      <c r="AX120" s="536">
        <v>276.54000000000002</v>
      </c>
      <c r="AY120" s="529">
        <v>387.15</v>
      </c>
      <c r="AZ120" s="253"/>
      <c r="BA120" s="535">
        <v>112</v>
      </c>
      <c r="BB120" s="536">
        <v>280.61</v>
      </c>
      <c r="BC120" s="529">
        <v>392.86</v>
      </c>
      <c r="BD120" s="253"/>
      <c r="BE120" s="535">
        <v>112</v>
      </c>
      <c r="BF120" s="536">
        <v>284.69</v>
      </c>
      <c r="BG120" s="529">
        <v>398.57</v>
      </c>
      <c r="BH120" s="253"/>
      <c r="BI120" s="535">
        <v>112</v>
      </c>
      <c r="BJ120" s="536">
        <v>288.77</v>
      </c>
      <c r="BK120" s="529">
        <v>401.27</v>
      </c>
      <c r="BL120" s="253"/>
    </row>
    <row r="121" spans="1:64" ht="23.25">
      <c r="A121" s="263">
        <v>113</v>
      </c>
      <c r="B121" s="1437">
        <f t="shared" si="2"/>
        <v>250.19</v>
      </c>
      <c r="C121" s="1438">
        <f t="shared" si="3"/>
        <v>350.26</v>
      </c>
      <c r="D121" s="253"/>
      <c r="E121" s="1420">
        <v>113</v>
      </c>
      <c r="F121" s="1421">
        <v>233.74</v>
      </c>
      <c r="G121" s="1414">
        <v>327.23</v>
      </c>
      <c r="H121" s="1404"/>
      <c r="I121" s="1420">
        <v>113</v>
      </c>
      <c r="J121" s="1421">
        <v>237.85</v>
      </c>
      <c r="K121" s="1414">
        <v>332.99</v>
      </c>
      <c r="L121" s="253"/>
      <c r="M121" s="535">
        <v>113</v>
      </c>
      <c r="N121" s="536">
        <v>241.96</v>
      </c>
      <c r="O121" s="529">
        <v>338.75</v>
      </c>
      <c r="P121" s="253"/>
      <c r="Q121" s="535">
        <v>113</v>
      </c>
      <c r="R121" s="536">
        <v>246.07</v>
      </c>
      <c r="S121" s="529">
        <v>344.5</v>
      </c>
      <c r="T121" s="253"/>
      <c r="U121" s="535">
        <v>113</v>
      </c>
      <c r="V121" s="536">
        <v>250.19</v>
      </c>
      <c r="W121" s="529">
        <v>350.26</v>
      </c>
      <c r="X121" s="253"/>
      <c r="Y121" s="535">
        <v>113</v>
      </c>
      <c r="Z121" s="536">
        <v>254.3</v>
      </c>
      <c r="AA121" s="529">
        <v>356.02</v>
      </c>
      <c r="AB121" s="253"/>
      <c r="AC121" s="535">
        <v>113</v>
      </c>
      <c r="AD121" s="536">
        <v>258.41000000000003</v>
      </c>
      <c r="AE121" s="529">
        <v>361.78</v>
      </c>
      <c r="AF121" s="253"/>
      <c r="AG121" s="535">
        <v>113</v>
      </c>
      <c r="AH121" s="536">
        <v>262.52999999999997</v>
      </c>
      <c r="AI121" s="529">
        <v>367.54</v>
      </c>
      <c r="AJ121" s="253"/>
      <c r="AK121" s="535">
        <v>113</v>
      </c>
      <c r="AL121" s="536">
        <v>266.64</v>
      </c>
      <c r="AM121" s="529">
        <v>373.3</v>
      </c>
      <c r="AN121" s="253"/>
      <c r="AO121" s="535">
        <v>113</v>
      </c>
      <c r="AP121" s="536">
        <v>270.75</v>
      </c>
      <c r="AQ121" s="529">
        <v>379.06</v>
      </c>
      <c r="AR121" s="253"/>
      <c r="AS121" s="535">
        <v>113</v>
      </c>
      <c r="AT121" s="536">
        <v>274.87</v>
      </c>
      <c r="AU121" s="529">
        <v>384.81</v>
      </c>
      <c r="AV121" s="253"/>
      <c r="AW121" s="535">
        <v>113</v>
      </c>
      <c r="AX121" s="536">
        <v>278.98</v>
      </c>
      <c r="AY121" s="529">
        <v>390.57</v>
      </c>
      <c r="AZ121" s="253"/>
      <c r="BA121" s="535">
        <v>113</v>
      </c>
      <c r="BB121" s="536">
        <v>283.08999999999997</v>
      </c>
      <c r="BC121" s="529">
        <v>396.33</v>
      </c>
      <c r="BD121" s="253"/>
      <c r="BE121" s="535">
        <v>113</v>
      </c>
      <c r="BF121" s="536">
        <v>287.20999999999998</v>
      </c>
      <c r="BG121" s="529">
        <v>402.09</v>
      </c>
      <c r="BH121" s="253"/>
      <c r="BI121" s="535">
        <v>113</v>
      </c>
      <c r="BJ121" s="536">
        <v>291.32</v>
      </c>
      <c r="BK121" s="529">
        <v>407.85</v>
      </c>
      <c r="BL121" s="253"/>
    </row>
    <row r="122" spans="1:64" ht="23.25">
      <c r="A122" s="263">
        <v>114</v>
      </c>
      <c r="B122" s="1437">
        <f t="shared" si="2"/>
        <v>252.38</v>
      </c>
      <c r="C122" s="1438">
        <f t="shared" si="3"/>
        <v>353.34</v>
      </c>
      <c r="D122" s="253"/>
      <c r="E122" s="1420">
        <v>114</v>
      </c>
      <c r="F122" s="1421">
        <v>235.79</v>
      </c>
      <c r="G122" s="1414">
        <v>330.1</v>
      </c>
      <c r="H122" s="1404"/>
      <c r="I122" s="1420">
        <v>114</v>
      </c>
      <c r="J122" s="1421">
        <v>239.94</v>
      </c>
      <c r="K122" s="1414">
        <v>335.91</v>
      </c>
      <c r="L122" s="253"/>
      <c r="M122" s="535">
        <v>114</v>
      </c>
      <c r="N122" s="536">
        <v>244.09</v>
      </c>
      <c r="O122" s="529">
        <v>341.72</v>
      </c>
      <c r="P122" s="253"/>
      <c r="Q122" s="535">
        <v>114</v>
      </c>
      <c r="R122" s="536">
        <v>248.24</v>
      </c>
      <c r="S122" s="529">
        <v>347.53</v>
      </c>
      <c r="T122" s="253"/>
      <c r="U122" s="535">
        <v>114</v>
      </c>
      <c r="V122" s="536">
        <v>252.38</v>
      </c>
      <c r="W122" s="529">
        <v>353.34</v>
      </c>
      <c r="X122" s="253"/>
      <c r="Y122" s="535">
        <v>114</v>
      </c>
      <c r="Z122" s="536">
        <v>256.52999999999997</v>
      </c>
      <c r="AA122" s="529">
        <v>359.15</v>
      </c>
      <c r="AB122" s="253"/>
      <c r="AC122" s="535">
        <v>114</v>
      </c>
      <c r="AD122" s="536">
        <v>260.68</v>
      </c>
      <c r="AE122" s="529">
        <v>364.96</v>
      </c>
      <c r="AF122" s="253"/>
      <c r="AG122" s="535">
        <v>114</v>
      </c>
      <c r="AH122" s="536">
        <v>264.83</v>
      </c>
      <c r="AI122" s="529">
        <v>370.77</v>
      </c>
      <c r="AJ122" s="253"/>
      <c r="AK122" s="535">
        <v>114</v>
      </c>
      <c r="AL122" s="536">
        <v>268.98</v>
      </c>
      <c r="AM122" s="529">
        <v>376.58</v>
      </c>
      <c r="AN122" s="253"/>
      <c r="AO122" s="535">
        <v>114</v>
      </c>
      <c r="AP122" s="536">
        <v>273.13</v>
      </c>
      <c r="AQ122" s="529">
        <v>382.39</v>
      </c>
      <c r="AR122" s="253"/>
      <c r="AS122" s="535">
        <v>114</v>
      </c>
      <c r="AT122" s="536">
        <v>277.27999999999997</v>
      </c>
      <c r="AU122" s="529">
        <v>388.2</v>
      </c>
      <c r="AV122" s="253"/>
      <c r="AW122" s="535">
        <v>114</v>
      </c>
      <c r="AX122" s="536">
        <v>281.43</v>
      </c>
      <c r="AY122" s="529">
        <v>394</v>
      </c>
      <c r="AZ122" s="253"/>
      <c r="BA122" s="535">
        <v>114</v>
      </c>
      <c r="BB122" s="536">
        <v>185.58</v>
      </c>
      <c r="BC122" s="529">
        <v>399.81</v>
      </c>
      <c r="BD122" s="253"/>
      <c r="BE122" s="535">
        <v>114</v>
      </c>
      <c r="BF122" s="536">
        <v>289.73</v>
      </c>
      <c r="BG122" s="529">
        <v>405.62</v>
      </c>
      <c r="BH122" s="253"/>
      <c r="BI122" s="535">
        <v>114</v>
      </c>
      <c r="BJ122" s="536">
        <v>293.88</v>
      </c>
      <c r="BK122" s="529">
        <v>411.43</v>
      </c>
      <c r="BL122" s="253"/>
    </row>
    <row r="123" spans="1:64" ht="23.25">
      <c r="A123" s="263">
        <v>115</v>
      </c>
      <c r="B123" s="1437">
        <f t="shared" si="2"/>
        <v>254.59</v>
      </c>
      <c r="C123" s="1438">
        <f t="shared" si="3"/>
        <v>356.42</v>
      </c>
      <c r="D123" s="253"/>
      <c r="E123" s="1420">
        <v>115</v>
      </c>
      <c r="F123" s="1421">
        <v>237.84</v>
      </c>
      <c r="G123" s="1414">
        <v>332.98</v>
      </c>
      <c r="H123" s="1404"/>
      <c r="I123" s="1420">
        <v>115</v>
      </c>
      <c r="J123" s="1421">
        <v>242.03</v>
      </c>
      <c r="K123" s="1414">
        <v>338.84</v>
      </c>
      <c r="L123" s="253"/>
      <c r="M123" s="535">
        <v>115</v>
      </c>
      <c r="N123" s="536">
        <v>246.22</v>
      </c>
      <c r="O123" s="529">
        <v>344.7</v>
      </c>
      <c r="P123" s="253"/>
      <c r="Q123" s="535">
        <v>115</v>
      </c>
      <c r="R123" s="536">
        <v>250.4</v>
      </c>
      <c r="S123" s="529">
        <v>350.56</v>
      </c>
      <c r="T123" s="253"/>
      <c r="U123" s="535">
        <v>115</v>
      </c>
      <c r="V123" s="536">
        <v>254.59</v>
      </c>
      <c r="W123" s="529">
        <v>356.42</v>
      </c>
      <c r="X123" s="253"/>
      <c r="Y123" s="535">
        <v>115</v>
      </c>
      <c r="Z123" s="536">
        <v>258.77</v>
      </c>
      <c r="AA123" s="529">
        <v>362.28</v>
      </c>
      <c r="AB123" s="253"/>
      <c r="AC123" s="535">
        <v>115</v>
      </c>
      <c r="AD123" s="536">
        <v>262.95999999999998</v>
      </c>
      <c r="AE123" s="529">
        <v>368.15</v>
      </c>
      <c r="AF123" s="253"/>
      <c r="AG123" s="535">
        <v>115</v>
      </c>
      <c r="AH123" s="536">
        <v>267.14999999999998</v>
      </c>
      <c r="AI123" s="529">
        <v>374.01</v>
      </c>
      <c r="AJ123" s="253"/>
      <c r="AK123" s="535">
        <v>115</v>
      </c>
      <c r="AL123" s="536">
        <v>271.33</v>
      </c>
      <c r="AM123" s="529">
        <v>379.87</v>
      </c>
      <c r="AN123" s="253"/>
      <c r="AO123" s="535">
        <v>115</v>
      </c>
      <c r="AP123" s="536">
        <v>275.52</v>
      </c>
      <c r="AQ123" s="529">
        <v>385.73</v>
      </c>
      <c r="AR123" s="253"/>
      <c r="AS123" s="535">
        <v>115</v>
      </c>
      <c r="AT123" s="536">
        <v>279.7</v>
      </c>
      <c r="AU123" s="529">
        <v>391.59</v>
      </c>
      <c r="AV123" s="253"/>
      <c r="AW123" s="535">
        <v>115</v>
      </c>
      <c r="AX123" s="536">
        <v>283.89</v>
      </c>
      <c r="AY123" s="529">
        <v>397.45</v>
      </c>
      <c r="AZ123" s="253"/>
      <c r="BA123" s="535">
        <v>115</v>
      </c>
      <c r="BB123" s="536">
        <v>288.08</v>
      </c>
      <c r="BC123" s="529">
        <v>403.31</v>
      </c>
      <c r="BD123" s="253"/>
      <c r="BE123" s="535">
        <v>115</v>
      </c>
      <c r="BF123" s="536">
        <v>292.26</v>
      </c>
      <c r="BG123" s="529">
        <v>409.17</v>
      </c>
      <c r="BH123" s="253"/>
      <c r="BI123" s="535">
        <v>115</v>
      </c>
      <c r="BJ123" s="536">
        <v>296.45</v>
      </c>
      <c r="BK123" s="529">
        <v>415.03</v>
      </c>
      <c r="BL123" s="253"/>
    </row>
    <row r="124" spans="1:64" ht="23.25">
      <c r="A124" s="263">
        <v>116</v>
      </c>
      <c r="B124" s="1437">
        <f t="shared" si="2"/>
        <v>256.8</v>
      </c>
      <c r="C124" s="1438">
        <f t="shared" si="3"/>
        <v>359.52</v>
      </c>
      <c r="D124" s="253"/>
      <c r="E124" s="1420">
        <v>116</v>
      </c>
      <c r="F124" s="1421">
        <v>239.91</v>
      </c>
      <c r="G124" s="1414">
        <v>335.88</v>
      </c>
      <c r="H124" s="1404"/>
      <c r="I124" s="1420">
        <v>116</v>
      </c>
      <c r="J124" s="1421">
        <v>244.13</v>
      </c>
      <c r="K124" s="1414">
        <v>341.79</v>
      </c>
      <c r="L124" s="253"/>
      <c r="M124" s="535">
        <v>116</v>
      </c>
      <c r="N124" s="536">
        <v>248.36</v>
      </c>
      <c r="O124" s="529">
        <v>347.7</v>
      </c>
      <c r="P124" s="253"/>
      <c r="Q124" s="535">
        <v>116</v>
      </c>
      <c r="R124" s="536">
        <v>252.58</v>
      </c>
      <c r="S124" s="529">
        <v>353.61</v>
      </c>
      <c r="T124" s="253"/>
      <c r="U124" s="535">
        <v>116</v>
      </c>
      <c r="V124" s="536">
        <v>256.8</v>
      </c>
      <c r="W124" s="529">
        <v>359.52</v>
      </c>
      <c r="X124" s="253"/>
      <c r="Y124" s="535">
        <v>116</v>
      </c>
      <c r="Z124" s="536">
        <v>261.02</v>
      </c>
      <c r="AA124" s="529">
        <v>365.43</v>
      </c>
      <c r="AB124" s="253"/>
      <c r="AC124" s="535">
        <v>116</v>
      </c>
      <c r="AD124" s="536">
        <v>265.25</v>
      </c>
      <c r="AE124" s="529">
        <v>371.34</v>
      </c>
      <c r="AF124" s="253"/>
      <c r="AG124" s="535">
        <v>116</v>
      </c>
      <c r="AH124" s="536">
        <v>269.47000000000003</v>
      </c>
      <c r="AI124" s="529">
        <v>377.26</v>
      </c>
      <c r="AJ124" s="253"/>
      <c r="AK124" s="535">
        <v>116</v>
      </c>
      <c r="AL124" s="536">
        <v>273.69</v>
      </c>
      <c r="AM124" s="529">
        <v>383.17</v>
      </c>
      <c r="AN124" s="253"/>
      <c r="AO124" s="535">
        <v>116</v>
      </c>
      <c r="AP124" s="536">
        <v>277.91000000000003</v>
      </c>
      <c r="AQ124" s="529">
        <v>389.08</v>
      </c>
      <c r="AR124" s="253"/>
      <c r="AS124" s="535">
        <v>116</v>
      </c>
      <c r="AT124" s="536">
        <v>282.14</v>
      </c>
      <c r="AU124" s="529">
        <v>394.99</v>
      </c>
      <c r="AV124" s="253"/>
      <c r="AW124" s="535">
        <v>116</v>
      </c>
      <c r="AX124" s="536">
        <v>286.36</v>
      </c>
      <c r="AY124" s="529">
        <v>400.9</v>
      </c>
      <c r="AZ124" s="253"/>
      <c r="BA124" s="535">
        <v>116</v>
      </c>
      <c r="BB124" s="536">
        <v>290.58</v>
      </c>
      <c r="BC124" s="529">
        <v>406.81</v>
      </c>
      <c r="BD124" s="253"/>
      <c r="BE124" s="535">
        <v>116</v>
      </c>
      <c r="BF124" s="536">
        <v>294.8</v>
      </c>
      <c r="BG124" s="529">
        <v>412.72</v>
      </c>
      <c r="BH124" s="253"/>
      <c r="BI124" s="535">
        <v>116</v>
      </c>
      <c r="BJ124" s="536">
        <v>299.02</v>
      </c>
      <c r="BK124" s="529">
        <v>418.63</v>
      </c>
      <c r="BL124" s="253"/>
    </row>
    <row r="125" spans="1:64" ht="23.25">
      <c r="A125" s="263">
        <v>117</v>
      </c>
      <c r="B125" s="1437">
        <f t="shared" si="2"/>
        <v>259.02</v>
      </c>
      <c r="C125" s="1438">
        <f t="shared" si="3"/>
        <v>362.63</v>
      </c>
      <c r="D125" s="253"/>
      <c r="E125" s="1420">
        <v>117</v>
      </c>
      <c r="F125" s="1421">
        <v>241.99</v>
      </c>
      <c r="G125" s="1414">
        <v>338.78</v>
      </c>
      <c r="H125" s="1404"/>
      <c r="I125" s="1420">
        <v>117</v>
      </c>
      <c r="J125" s="1421">
        <v>246.24</v>
      </c>
      <c r="K125" s="1414">
        <v>344.74</v>
      </c>
      <c r="L125" s="253"/>
      <c r="M125" s="535">
        <v>117</v>
      </c>
      <c r="N125" s="536">
        <v>250.5</v>
      </c>
      <c r="O125" s="529">
        <v>350.7</v>
      </c>
      <c r="P125" s="253"/>
      <c r="Q125" s="535">
        <v>117</v>
      </c>
      <c r="R125" s="536">
        <v>254.76</v>
      </c>
      <c r="S125" s="529">
        <v>356.67</v>
      </c>
      <c r="T125" s="253"/>
      <c r="U125" s="535">
        <v>117</v>
      </c>
      <c r="V125" s="536">
        <v>259.02</v>
      </c>
      <c r="W125" s="529">
        <v>362.63</v>
      </c>
      <c r="X125" s="253"/>
      <c r="Y125" s="535">
        <v>117</v>
      </c>
      <c r="Z125" s="536">
        <v>265.27999999999997</v>
      </c>
      <c r="AA125" s="529">
        <v>368.59</v>
      </c>
      <c r="AB125" s="253"/>
      <c r="AC125" s="535">
        <v>117</v>
      </c>
      <c r="AD125" s="536">
        <v>267.54000000000002</v>
      </c>
      <c r="AE125" s="529">
        <v>374.55</v>
      </c>
      <c r="AF125" s="253"/>
      <c r="AG125" s="535">
        <v>117</v>
      </c>
      <c r="AH125" s="536">
        <v>271.8</v>
      </c>
      <c r="AI125" s="529">
        <v>380.52</v>
      </c>
      <c r="AJ125" s="253"/>
      <c r="AK125" s="535">
        <v>117</v>
      </c>
      <c r="AL125" s="536">
        <v>276.06</v>
      </c>
      <c r="AM125" s="529">
        <v>386.48</v>
      </c>
      <c r="AN125" s="253"/>
      <c r="AO125" s="535">
        <v>117</v>
      </c>
      <c r="AP125" s="536">
        <v>280.31</v>
      </c>
      <c r="AQ125" s="529">
        <v>392.44</v>
      </c>
      <c r="AR125" s="253"/>
      <c r="AS125" s="535">
        <v>117</v>
      </c>
      <c r="AT125" s="536">
        <v>284.57</v>
      </c>
      <c r="AU125" s="529">
        <v>398.4</v>
      </c>
      <c r="AV125" s="253"/>
      <c r="AW125" s="535">
        <v>117</v>
      </c>
      <c r="AX125" s="536">
        <v>288.83</v>
      </c>
      <c r="AY125" s="529">
        <v>404.27</v>
      </c>
      <c r="AZ125" s="253"/>
      <c r="BA125" s="535">
        <v>117</v>
      </c>
      <c r="BB125" s="536">
        <v>293.08999999999997</v>
      </c>
      <c r="BC125" s="529">
        <v>410.33</v>
      </c>
      <c r="BD125" s="253"/>
      <c r="BE125" s="535">
        <v>117</v>
      </c>
      <c r="BF125" s="536">
        <v>297.35000000000002</v>
      </c>
      <c r="BG125" s="529">
        <v>416.29</v>
      </c>
      <c r="BH125" s="253"/>
      <c r="BI125" s="535">
        <v>117</v>
      </c>
      <c r="BJ125" s="536">
        <v>301.61</v>
      </c>
      <c r="BK125" s="529">
        <v>422.25</v>
      </c>
      <c r="BL125" s="253"/>
    </row>
    <row r="126" spans="1:64" ht="23.25">
      <c r="A126" s="263">
        <v>118</v>
      </c>
      <c r="B126" s="1437">
        <f t="shared" si="2"/>
        <v>261.20999999999998</v>
      </c>
      <c r="C126" s="1438">
        <f t="shared" si="3"/>
        <v>365.75</v>
      </c>
      <c r="D126" s="253"/>
      <c r="E126" s="1420">
        <v>118</v>
      </c>
      <c r="F126" s="1421">
        <v>244.07</v>
      </c>
      <c r="G126" s="1414">
        <v>341.69</v>
      </c>
      <c r="H126" s="1404"/>
      <c r="I126" s="1420">
        <v>118</v>
      </c>
      <c r="J126" s="1421">
        <v>248.36</v>
      </c>
      <c r="K126" s="1414">
        <v>347.71</v>
      </c>
      <c r="L126" s="253"/>
      <c r="M126" s="535">
        <v>118</v>
      </c>
      <c r="N126" s="536">
        <v>252.66</v>
      </c>
      <c r="O126" s="529">
        <v>352.72</v>
      </c>
      <c r="P126" s="253"/>
      <c r="Q126" s="535">
        <v>118</v>
      </c>
      <c r="R126" s="536">
        <v>254.95</v>
      </c>
      <c r="S126" s="529">
        <v>359.93</v>
      </c>
      <c r="T126" s="253"/>
      <c r="U126" s="535">
        <v>118</v>
      </c>
      <c r="V126" s="536">
        <v>261.20999999999998</v>
      </c>
      <c r="W126" s="529">
        <v>365.75</v>
      </c>
      <c r="X126" s="253"/>
      <c r="Y126" s="535">
        <v>118</v>
      </c>
      <c r="Z126" s="536">
        <v>265.54000000000002</v>
      </c>
      <c r="AA126" s="529">
        <v>371.76</v>
      </c>
      <c r="AB126" s="253"/>
      <c r="AC126" s="535">
        <v>118</v>
      </c>
      <c r="AD126" s="536">
        <v>269.83999999999997</v>
      </c>
      <c r="AE126" s="529">
        <v>377.77</v>
      </c>
      <c r="AF126" s="253"/>
      <c r="AG126" s="535">
        <v>118</v>
      </c>
      <c r="AH126" s="536">
        <v>274.13</v>
      </c>
      <c r="AI126" s="529">
        <v>383.79</v>
      </c>
      <c r="AJ126" s="253"/>
      <c r="AK126" s="535">
        <v>118</v>
      </c>
      <c r="AL126" s="536">
        <v>278.43</v>
      </c>
      <c r="AM126" s="529">
        <v>289.8</v>
      </c>
      <c r="AN126" s="253"/>
      <c r="AO126" s="535">
        <v>118</v>
      </c>
      <c r="AP126" s="536">
        <v>282.72000000000003</v>
      </c>
      <c r="AQ126" s="529">
        <v>395.81</v>
      </c>
      <c r="AR126" s="253"/>
      <c r="AS126" s="535">
        <v>118</v>
      </c>
      <c r="AT126" s="536">
        <v>287.02</v>
      </c>
      <c r="AU126" s="529">
        <v>401.83</v>
      </c>
      <c r="AV126" s="253"/>
      <c r="AW126" s="535">
        <v>118</v>
      </c>
      <c r="AX126" s="536">
        <v>291.35000000000002</v>
      </c>
      <c r="AY126" s="529">
        <v>407.84</v>
      </c>
      <c r="AZ126" s="253"/>
      <c r="BA126" s="535">
        <v>118</v>
      </c>
      <c r="BB126" s="536">
        <v>295.61</v>
      </c>
      <c r="BC126" s="529">
        <v>413.85</v>
      </c>
      <c r="BD126" s="253"/>
      <c r="BE126" s="535">
        <v>118</v>
      </c>
      <c r="BF126" s="536">
        <v>299.89999999999998</v>
      </c>
      <c r="BG126" s="529">
        <v>419.85</v>
      </c>
      <c r="BH126" s="253"/>
      <c r="BI126" s="535">
        <v>118</v>
      </c>
      <c r="BJ126" s="536">
        <v>304.2</v>
      </c>
      <c r="BK126" s="529">
        <v>425.88</v>
      </c>
      <c r="BL126" s="253"/>
    </row>
    <row r="127" spans="1:64" ht="23.25">
      <c r="A127" s="263">
        <v>119</v>
      </c>
      <c r="B127" s="1437">
        <f t="shared" si="2"/>
        <v>263.48</v>
      </c>
      <c r="C127" s="1438">
        <f t="shared" si="3"/>
        <v>368.88</v>
      </c>
      <c r="D127" s="253"/>
      <c r="E127" s="1420">
        <v>119</v>
      </c>
      <c r="F127" s="1421">
        <v>246.16</v>
      </c>
      <c r="G127" s="1414">
        <v>344.62</v>
      </c>
      <c r="H127" s="1404"/>
      <c r="I127" s="1420">
        <v>119</v>
      </c>
      <c r="J127" s="1421">
        <v>250.49</v>
      </c>
      <c r="K127" s="1414">
        <v>350.69</v>
      </c>
      <c r="L127" s="253"/>
      <c r="M127" s="535">
        <v>119</v>
      </c>
      <c r="N127" s="536">
        <v>254.82</v>
      </c>
      <c r="O127" s="529">
        <v>356.76</v>
      </c>
      <c r="P127" s="253"/>
      <c r="Q127" s="535">
        <v>119</v>
      </c>
      <c r="R127" s="536">
        <v>259.14999999999998</v>
      </c>
      <c r="S127" s="529">
        <v>362.81</v>
      </c>
      <c r="T127" s="253"/>
      <c r="U127" s="535">
        <v>119</v>
      </c>
      <c r="V127" s="536">
        <v>263.48</v>
      </c>
      <c r="W127" s="529">
        <v>368.88</v>
      </c>
      <c r="X127" s="253"/>
      <c r="Y127" s="535">
        <v>119</v>
      </c>
      <c r="Z127" s="536">
        <v>267.52</v>
      </c>
      <c r="AA127" s="529">
        <v>374.94</v>
      </c>
      <c r="AB127" s="253"/>
      <c r="AC127" s="535">
        <v>119</v>
      </c>
      <c r="AD127" s="536">
        <v>272.13</v>
      </c>
      <c r="AE127" s="529">
        <v>381.01</v>
      </c>
      <c r="AF127" s="253"/>
      <c r="AG127" s="535">
        <v>119</v>
      </c>
      <c r="AH127" s="536">
        <v>276.48</v>
      </c>
      <c r="AI127" s="529">
        <v>387.07</v>
      </c>
      <c r="AJ127" s="253"/>
      <c r="AK127" s="535">
        <v>119</v>
      </c>
      <c r="AL127" s="536">
        <v>280.81</v>
      </c>
      <c r="AM127" s="529">
        <v>393.14</v>
      </c>
      <c r="AN127" s="253"/>
      <c r="AO127" s="535">
        <v>119</v>
      </c>
      <c r="AP127" s="536">
        <v>285.14</v>
      </c>
      <c r="AQ127" s="529">
        <v>399.2</v>
      </c>
      <c r="AR127" s="253"/>
      <c r="AS127" s="535">
        <v>119</v>
      </c>
      <c r="AT127" s="536">
        <v>289.47000000000003</v>
      </c>
      <c r="AU127" s="529">
        <v>403.26</v>
      </c>
      <c r="AV127" s="253"/>
      <c r="AW127" s="535">
        <v>119</v>
      </c>
      <c r="AX127" s="536">
        <v>294.39999999999998</v>
      </c>
      <c r="AY127" s="529">
        <v>411.33</v>
      </c>
      <c r="AZ127" s="253"/>
      <c r="BA127" s="535">
        <v>119</v>
      </c>
      <c r="BB127" s="536">
        <v>298.11</v>
      </c>
      <c r="BC127" s="529">
        <v>417.39</v>
      </c>
      <c r="BD127" s="253"/>
      <c r="BE127" s="535">
        <v>119</v>
      </c>
      <c r="BF127" s="536">
        <v>302.45</v>
      </c>
      <c r="BG127" s="529">
        <v>423.4</v>
      </c>
      <c r="BH127" s="253"/>
      <c r="BI127" s="535">
        <v>119</v>
      </c>
      <c r="BJ127" s="536">
        <v>306.79000000000002</v>
      </c>
      <c r="BK127" s="529">
        <v>429.52</v>
      </c>
      <c r="BL127" s="253"/>
    </row>
    <row r="128" spans="1:64" ht="23.25">
      <c r="A128" s="264">
        <v>120</v>
      </c>
      <c r="B128" s="1437">
        <f t="shared" si="2"/>
        <v>265.73</v>
      </c>
      <c r="C128" s="1438">
        <f t="shared" si="3"/>
        <v>372.02</v>
      </c>
      <c r="D128" s="253"/>
      <c r="E128" s="1422">
        <v>120</v>
      </c>
      <c r="F128" s="1416">
        <v>248.26</v>
      </c>
      <c r="G128" s="1417">
        <v>347.56</v>
      </c>
      <c r="H128" s="1404"/>
      <c r="I128" s="1422">
        <v>120</v>
      </c>
      <c r="J128" s="1416">
        <v>252.62</v>
      </c>
      <c r="K128" s="1417">
        <v>353.67</v>
      </c>
      <c r="L128" s="253"/>
      <c r="M128" s="537">
        <v>120</v>
      </c>
      <c r="N128" s="531">
        <v>256.99</v>
      </c>
      <c r="O128" s="532">
        <v>359.79</v>
      </c>
      <c r="P128" s="253"/>
      <c r="Q128" s="537">
        <v>120</v>
      </c>
      <c r="R128" s="531">
        <v>261.36</v>
      </c>
      <c r="S128" s="532">
        <v>365.91</v>
      </c>
      <c r="T128" s="253"/>
      <c r="U128" s="537">
        <v>120</v>
      </c>
      <c r="V128" s="531">
        <v>265.73</v>
      </c>
      <c r="W128" s="532">
        <v>372.02</v>
      </c>
      <c r="X128" s="253"/>
      <c r="Y128" s="537">
        <v>120</v>
      </c>
      <c r="Z128" s="531">
        <v>270.17</v>
      </c>
      <c r="AA128" s="532">
        <v>378.14</v>
      </c>
      <c r="AB128" s="253"/>
      <c r="AC128" s="537">
        <v>120</v>
      </c>
      <c r="AD128" s="531">
        <v>274.42</v>
      </c>
      <c r="AE128" s="532">
        <v>384.25</v>
      </c>
      <c r="AF128" s="253"/>
      <c r="AG128" s="537">
        <v>120</v>
      </c>
      <c r="AH128" s="531">
        <v>278.83</v>
      </c>
      <c r="AI128" s="532">
        <v>390.37</v>
      </c>
      <c r="AJ128" s="253"/>
      <c r="AK128" s="537">
        <v>120</v>
      </c>
      <c r="AL128" s="531">
        <v>283.2</v>
      </c>
      <c r="AM128" s="532">
        <v>369.48</v>
      </c>
      <c r="AN128" s="253"/>
      <c r="AO128" s="537">
        <v>120</v>
      </c>
      <c r="AP128" s="531">
        <v>287.57</v>
      </c>
      <c r="AQ128" s="532">
        <v>402.6</v>
      </c>
      <c r="AR128" s="253"/>
      <c r="AS128" s="537">
        <v>120</v>
      </c>
      <c r="AT128" s="531">
        <v>291.54000000000002</v>
      </c>
      <c r="AU128" s="532">
        <v>408.71</v>
      </c>
      <c r="AV128" s="253"/>
      <c r="AW128" s="537">
        <v>120</v>
      </c>
      <c r="AX128" s="531">
        <v>296.10000000000002</v>
      </c>
      <c r="AY128" s="532">
        <v>414.83</v>
      </c>
      <c r="AZ128" s="253"/>
      <c r="BA128" s="537">
        <v>120</v>
      </c>
      <c r="BB128" s="531">
        <v>300.62</v>
      </c>
      <c r="BC128" s="532">
        <v>420.94</v>
      </c>
      <c r="BD128" s="253"/>
      <c r="BE128" s="537">
        <v>120</v>
      </c>
      <c r="BF128" s="531">
        <v>305.04000000000002</v>
      </c>
      <c r="BG128" s="532">
        <v>427.06</v>
      </c>
      <c r="BH128" s="253"/>
      <c r="BI128" s="537">
        <v>120</v>
      </c>
      <c r="BJ128" s="531">
        <v>309.41000000000003</v>
      </c>
      <c r="BK128" s="532">
        <v>433.17</v>
      </c>
      <c r="BL128" s="253"/>
    </row>
    <row r="129" spans="1:64" ht="23.25">
      <c r="A129" s="261">
        <v>121</v>
      </c>
      <c r="B129" s="1437">
        <f t="shared" si="2"/>
        <v>267.74</v>
      </c>
      <c r="C129" s="1438">
        <f t="shared" si="3"/>
        <v>374.83</v>
      </c>
      <c r="D129" s="253"/>
      <c r="E129" s="1413">
        <v>121</v>
      </c>
      <c r="F129" s="1411">
        <v>250.12</v>
      </c>
      <c r="G129" s="1412">
        <v>350.17</v>
      </c>
      <c r="H129" s="1404"/>
      <c r="I129" s="1413">
        <v>121</v>
      </c>
      <c r="J129" s="1411">
        <v>254.52</v>
      </c>
      <c r="K129" s="1412">
        <v>356.33</v>
      </c>
      <c r="L129" s="253"/>
      <c r="M129" s="528">
        <v>121</v>
      </c>
      <c r="N129" s="526">
        <v>258.93</v>
      </c>
      <c r="O129" s="527">
        <v>362.5</v>
      </c>
      <c r="P129" s="253"/>
      <c r="Q129" s="528">
        <v>121</v>
      </c>
      <c r="R129" s="526">
        <v>263.33</v>
      </c>
      <c r="S129" s="527">
        <v>368.66</v>
      </c>
      <c r="T129" s="253"/>
      <c r="U129" s="528">
        <v>121</v>
      </c>
      <c r="V129" s="526">
        <v>267.74</v>
      </c>
      <c r="W129" s="527">
        <v>374.83</v>
      </c>
      <c r="X129" s="253"/>
      <c r="Y129" s="528">
        <v>121</v>
      </c>
      <c r="Z129" s="526">
        <v>272.14</v>
      </c>
      <c r="AA129" s="527">
        <v>381</v>
      </c>
      <c r="AB129" s="253"/>
      <c r="AC129" s="528">
        <v>121</v>
      </c>
      <c r="AD129" s="526">
        <v>276.54000000000002</v>
      </c>
      <c r="AE129" s="527">
        <v>387.16</v>
      </c>
      <c r="AF129" s="253"/>
      <c r="AG129" s="528">
        <v>121</v>
      </c>
      <c r="AH129" s="526">
        <v>280.95</v>
      </c>
      <c r="AI129" s="527">
        <v>393.33</v>
      </c>
      <c r="AJ129" s="253"/>
      <c r="AK129" s="528">
        <v>121</v>
      </c>
      <c r="AL129" s="526">
        <v>285.35000000000002</v>
      </c>
      <c r="AM129" s="527">
        <v>399.49</v>
      </c>
      <c r="AN129" s="253"/>
      <c r="AO129" s="528">
        <v>121</v>
      </c>
      <c r="AP129" s="526">
        <v>289.76</v>
      </c>
      <c r="AQ129" s="527">
        <v>405.66</v>
      </c>
      <c r="AR129" s="253"/>
      <c r="AS129" s="528">
        <v>121</v>
      </c>
      <c r="AT129" s="526">
        <v>294.16000000000003</v>
      </c>
      <c r="AU129" s="527">
        <v>411.83</v>
      </c>
      <c r="AV129" s="253"/>
      <c r="AW129" s="528">
        <v>121</v>
      </c>
      <c r="AX129" s="526">
        <v>298.57</v>
      </c>
      <c r="AY129" s="527">
        <v>417.99</v>
      </c>
      <c r="AZ129" s="253"/>
      <c r="BA129" s="528">
        <v>121</v>
      </c>
      <c r="BB129" s="526">
        <v>302.97000000000003</v>
      </c>
      <c r="BC129" s="527">
        <v>424.16</v>
      </c>
      <c r="BD129" s="253"/>
      <c r="BE129" s="528">
        <v>121</v>
      </c>
      <c r="BF129" s="526">
        <v>307.38</v>
      </c>
      <c r="BG129" s="527">
        <v>430.33</v>
      </c>
      <c r="BH129" s="253"/>
      <c r="BI129" s="528">
        <v>121</v>
      </c>
      <c r="BJ129" s="526">
        <v>311.77999999999997</v>
      </c>
      <c r="BK129" s="527">
        <v>436.49</v>
      </c>
      <c r="BL129" s="253"/>
    </row>
    <row r="130" spans="1:64" ht="23.25">
      <c r="A130" s="263">
        <v>122</v>
      </c>
      <c r="B130" s="1437">
        <f t="shared" si="2"/>
        <v>269.99</v>
      </c>
      <c r="C130" s="1438">
        <f t="shared" si="3"/>
        <v>377.99</v>
      </c>
      <c r="D130" s="253"/>
      <c r="E130" s="1413">
        <v>122</v>
      </c>
      <c r="F130" s="1411">
        <v>252.23</v>
      </c>
      <c r="G130" s="1414">
        <v>353.12</v>
      </c>
      <c r="H130" s="1404"/>
      <c r="I130" s="1413">
        <v>122</v>
      </c>
      <c r="J130" s="1411">
        <v>256.67</v>
      </c>
      <c r="K130" s="1414">
        <v>359.34</v>
      </c>
      <c r="L130" s="253"/>
      <c r="M130" s="528">
        <v>122</v>
      </c>
      <c r="N130" s="526">
        <v>261.11</v>
      </c>
      <c r="O130" s="529">
        <v>365.56</v>
      </c>
      <c r="P130" s="253"/>
      <c r="Q130" s="528">
        <v>122</v>
      </c>
      <c r="R130" s="526">
        <v>265.55</v>
      </c>
      <c r="S130" s="529">
        <v>371.77</v>
      </c>
      <c r="T130" s="253"/>
      <c r="U130" s="528">
        <v>122</v>
      </c>
      <c r="V130" s="526">
        <v>269.99</v>
      </c>
      <c r="W130" s="529">
        <v>377.99</v>
      </c>
      <c r="X130" s="253"/>
      <c r="Y130" s="528">
        <v>122</v>
      </c>
      <c r="Z130" s="526">
        <v>274.43</v>
      </c>
      <c r="AA130" s="529">
        <v>384.21</v>
      </c>
      <c r="AB130" s="253"/>
      <c r="AC130" s="528">
        <v>122</v>
      </c>
      <c r="AD130" s="526">
        <v>278.87</v>
      </c>
      <c r="AE130" s="529">
        <v>390.42</v>
      </c>
      <c r="AF130" s="253"/>
      <c r="AG130" s="528">
        <v>122</v>
      </c>
      <c r="AH130" s="526">
        <v>283.32</v>
      </c>
      <c r="AI130" s="529">
        <v>396.64</v>
      </c>
      <c r="AJ130" s="253"/>
      <c r="AK130" s="528">
        <v>122</v>
      </c>
      <c r="AL130" s="526">
        <v>287.76</v>
      </c>
      <c r="AM130" s="529">
        <v>402.86</v>
      </c>
      <c r="AN130" s="253"/>
      <c r="AO130" s="528">
        <v>122</v>
      </c>
      <c r="AP130" s="526">
        <v>292.2</v>
      </c>
      <c r="AQ130" s="529">
        <v>409.08</v>
      </c>
      <c r="AR130" s="253"/>
      <c r="AS130" s="528">
        <v>122</v>
      </c>
      <c r="AT130" s="526">
        <v>296.64</v>
      </c>
      <c r="AU130" s="529">
        <v>415.29</v>
      </c>
      <c r="AV130" s="253"/>
      <c r="AW130" s="528">
        <v>122</v>
      </c>
      <c r="AX130" s="526">
        <v>301.08</v>
      </c>
      <c r="AY130" s="529">
        <v>421.51</v>
      </c>
      <c r="AZ130" s="253"/>
      <c r="BA130" s="528">
        <v>122</v>
      </c>
      <c r="BB130" s="526">
        <v>305.52</v>
      </c>
      <c r="BC130" s="529">
        <v>427.73</v>
      </c>
      <c r="BD130" s="253"/>
      <c r="BE130" s="528">
        <v>122</v>
      </c>
      <c r="BF130" s="526">
        <v>309.95999999999998</v>
      </c>
      <c r="BG130" s="529">
        <v>433.94</v>
      </c>
      <c r="BH130" s="253"/>
      <c r="BI130" s="528">
        <v>122</v>
      </c>
      <c r="BJ130" s="526">
        <v>314.39999999999998</v>
      </c>
      <c r="BK130" s="529">
        <v>440.16</v>
      </c>
      <c r="BL130" s="253"/>
    </row>
    <row r="131" spans="1:64" ht="23.25">
      <c r="A131" s="263">
        <v>123</v>
      </c>
      <c r="B131" s="1437">
        <f t="shared" si="2"/>
        <v>272.26</v>
      </c>
      <c r="C131" s="1438">
        <f t="shared" si="3"/>
        <v>381.16</v>
      </c>
      <c r="D131" s="253"/>
      <c r="E131" s="1413">
        <v>123</v>
      </c>
      <c r="F131" s="1411">
        <v>254.35</v>
      </c>
      <c r="G131" s="1414">
        <v>356.09</v>
      </c>
      <c r="H131" s="1404"/>
      <c r="I131" s="1413">
        <v>123</v>
      </c>
      <c r="J131" s="1411">
        <v>258.83</v>
      </c>
      <c r="K131" s="1414">
        <v>362.36</v>
      </c>
      <c r="L131" s="253"/>
      <c r="M131" s="528">
        <v>123</v>
      </c>
      <c r="N131" s="526">
        <v>263.31</v>
      </c>
      <c r="O131" s="529">
        <v>368.63</v>
      </c>
      <c r="P131" s="253"/>
      <c r="Q131" s="528">
        <v>123</v>
      </c>
      <c r="R131" s="526">
        <v>267.77999999999997</v>
      </c>
      <c r="S131" s="529">
        <v>374.9</v>
      </c>
      <c r="T131" s="253"/>
      <c r="U131" s="528">
        <v>123</v>
      </c>
      <c r="V131" s="526">
        <v>272.26</v>
      </c>
      <c r="W131" s="529">
        <v>381.16</v>
      </c>
      <c r="X131" s="253"/>
      <c r="Y131" s="528">
        <v>123</v>
      </c>
      <c r="Z131" s="526">
        <v>276.74</v>
      </c>
      <c r="AA131" s="529">
        <v>387.43</v>
      </c>
      <c r="AB131" s="253"/>
      <c r="AC131" s="528">
        <v>123</v>
      </c>
      <c r="AD131" s="526">
        <v>271.20999999999998</v>
      </c>
      <c r="AE131" s="529">
        <v>393.7</v>
      </c>
      <c r="AF131" s="253"/>
      <c r="AG131" s="528">
        <v>123</v>
      </c>
      <c r="AH131" s="526">
        <v>285.69</v>
      </c>
      <c r="AI131" s="529">
        <v>399.97</v>
      </c>
      <c r="AJ131" s="253"/>
      <c r="AK131" s="528">
        <v>123</v>
      </c>
      <c r="AL131" s="526">
        <v>290.17</v>
      </c>
      <c r="AM131" s="529">
        <v>406.24</v>
      </c>
      <c r="AN131" s="253"/>
      <c r="AO131" s="528">
        <v>123</v>
      </c>
      <c r="AP131" s="526">
        <v>294.64999999999998</v>
      </c>
      <c r="AQ131" s="529">
        <v>412.5</v>
      </c>
      <c r="AR131" s="253"/>
      <c r="AS131" s="528">
        <v>123</v>
      </c>
      <c r="AT131" s="526">
        <v>299.12</v>
      </c>
      <c r="AU131" s="529">
        <v>418.77</v>
      </c>
      <c r="AV131" s="253"/>
      <c r="AW131" s="528">
        <v>123</v>
      </c>
      <c r="AX131" s="526">
        <v>303.60000000000002</v>
      </c>
      <c r="AY131" s="529">
        <v>425.04</v>
      </c>
      <c r="AZ131" s="253"/>
      <c r="BA131" s="528">
        <v>123</v>
      </c>
      <c r="BB131" s="526">
        <v>308.08</v>
      </c>
      <c r="BC131" s="529">
        <v>431.31</v>
      </c>
      <c r="BD131" s="253"/>
      <c r="BE131" s="528">
        <v>123</v>
      </c>
      <c r="BF131" s="526">
        <v>312.55</v>
      </c>
      <c r="BG131" s="529">
        <v>437.58</v>
      </c>
      <c r="BH131" s="253"/>
      <c r="BI131" s="528">
        <v>123</v>
      </c>
      <c r="BJ131" s="526">
        <v>317.02999999999997</v>
      </c>
      <c r="BK131" s="529">
        <v>443.85</v>
      </c>
      <c r="BL131" s="253"/>
    </row>
    <row r="132" spans="1:64" ht="23.25">
      <c r="A132" s="263">
        <v>124</v>
      </c>
      <c r="B132" s="1437">
        <f t="shared" si="2"/>
        <v>274.54000000000002</v>
      </c>
      <c r="C132" s="1438">
        <f t="shared" si="3"/>
        <v>384.35</v>
      </c>
      <c r="D132" s="253"/>
      <c r="E132" s="1413">
        <v>124</v>
      </c>
      <c r="F132" s="1411">
        <v>256.48</v>
      </c>
      <c r="G132" s="1414">
        <v>359.07</v>
      </c>
      <c r="H132" s="1404"/>
      <c r="I132" s="1413">
        <v>124</v>
      </c>
      <c r="J132" s="1411">
        <v>261</v>
      </c>
      <c r="K132" s="1414">
        <v>365.39</v>
      </c>
      <c r="L132" s="253"/>
      <c r="M132" s="528">
        <v>124</v>
      </c>
      <c r="N132" s="526">
        <v>265.51</v>
      </c>
      <c r="O132" s="529">
        <v>371.71</v>
      </c>
      <c r="P132" s="253"/>
      <c r="Q132" s="528">
        <v>124</v>
      </c>
      <c r="R132" s="526">
        <v>270.02</v>
      </c>
      <c r="S132" s="529">
        <v>378.03</v>
      </c>
      <c r="T132" s="253"/>
      <c r="U132" s="528">
        <v>124</v>
      </c>
      <c r="V132" s="526">
        <v>274.54000000000002</v>
      </c>
      <c r="W132" s="529">
        <v>384.35</v>
      </c>
      <c r="X132" s="253"/>
      <c r="Y132" s="528">
        <v>124</v>
      </c>
      <c r="Z132" s="526">
        <v>279.05</v>
      </c>
      <c r="AA132" s="529">
        <v>390.67</v>
      </c>
      <c r="AB132" s="253"/>
      <c r="AC132" s="528">
        <v>124</v>
      </c>
      <c r="AD132" s="526">
        <v>283.56</v>
      </c>
      <c r="AE132" s="529">
        <v>396.99</v>
      </c>
      <c r="AF132" s="253"/>
      <c r="AG132" s="528">
        <v>124</v>
      </c>
      <c r="AH132" s="526">
        <v>288.08</v>
      </c>
      <c r="AI132" s="529">
        <v>403.31</v>
      </c>
      <c r="AJ132" s="253"/>
      <c r="AK132" s="528">
        <v>124</v>
      </c>
      <c r="AL132" s="526">
        <v>292.58999999999997</v>
      </c>
      <c r="AM132" s="529">
        <v>409.63</v>
      </c>
      <c r="AN132" s="253"/>
      <c r="AO132" s="528">
        <v>124</v>
      </c>
      <c r="AP132" s="526">
        <v>297.10000000000002</v>
      </c>
      <c r="AQ132" s="529">
        <v>415.95</v>
      </c>
      <c r="AR132" s="253"/>
      <c r="AS132" s="528">
        <v>124</v>
      </c>
      <c r="AT132" s="526">
        <v>301.62</v>
      </c>
      <c r="AU132" s="529">
        <v>422.27</v>
      </c>
      <c r="AV132" s="253"/>
      <c r="AW132" s="528">
        <v>124</v>
      </c>
      <c r="AX132" s="526">
        <v>306.13</v>
      </c>
      <c r="AY132" s="529">
        <v>428.58</v>
      </c>
      <c r="AZ132" s="253"/>
      <c r="BA132" s="528">
        <v>124</v>
      </c>
      <c r="BB132" s="526">
        <v>310.64999999999998</v>
      </c>
      <c r="BC132" s="529">
        <v>434.9</v>
      </c>
      <c r="BD132" s="253"/>
      <c r="BE132" s="528">
        <v>124</v>
      </c>
      <c r="BF132" s="526">
        <v>315.16000000000003</v>
      </c>
      <c r="BG132" s="529">
        <v>441.22</v>
      </c>
      <c r="BH132" s="253"/>
      <c r="BI132" s="528">
        <v>124</v>
      </c>
      <c r="BJ132" s="526">
        <v>319.67</v>
      </c>
      <c r="BK132" s="529">
        <v>447.54</v>
      </c>
      <c r="BL132" s="253"/>
    </row>
    <row r="133" spans="1:64" ht="23.25">
      <c r="A133" s="263">
        <v>125</v>
      </c>
      <c r="B133" s="1437">
        <f t="shared" si="2"/>
        <v>276.56</v>
      </c>
      <c r="C133" s="1438">
        <f t="shared" si="3"/>
        <v>387.18</v>
      </c>
      <c r="D133" s="253"/>
      <c r="E133" s="1413">
        <v>125</v>
      </c>
      <c r="F133" s="1411">
        <v>258.36</v>
      </c>
      <c r="G133" s="1414">
        <v>361.7</v>
      </c>
      <c r="H133" s="1404"/>
      <c r="I133" s="1413">
        <v>125</v>
      </c>
      <c r="J133" s="1411">
        <v>262.91000000000003</v>
      </c>
      <c r="K133" s="1414">
        <v>368.07</v>
      </c>
      <c r="L133" s="253"/>
      <c r="M133" s="528">
        <v>125</v>
      </c>
      <c r="N133" s="526">
        <v>267.45999999999998</v>
      </c>
      <c r="O133" s="529">
        <v>374.44</v>
      </c>
      <c r="P133" s="253"/>
      <c r="Q133" s="528">
        <v>125</v>
      </c>
      <c r="R133" s="526">
        <v>272.01</v>
      </c>
      <c r="S133" s="529">
        <v>380.81</v>
      </c>
      <c r="T133" s="253"/>
      <c r="U133" s="528">
        <v>125</v>
      </c>
      <c r="V133" s="526">
        <v>276.56</v>
      </c>
      <c r="W133" s="529">
        <v>387.18</v>
      </c>
      <c r="X133" s="253"/>
      <c r="Y133" s="528">
        <v>125</v>
      </c>
      <c r="Z133" s="526">
        <v>281.11</v>
      </c>
      <c r="AA133" s="529">
        <v>393.55</v>
      </c>
      <c r="AB133" s="253"/>
      <c r="AC133" s="528">
        <v>125</v>
      </c>
      <c r="AD133" s="526">
        <v>285.66000000000003</v>
      </c>
      <c r="AE133" s="529">
        <v>399.92</v>
      </c>
      <c r="AF133" s="253"/>
      <c r="AG133" s="528">
        <v>125</v>
      </c>
      <c r="AH133" s="526">
        <v>290.20999999999998</v>
      </c>
      <c r="AI133" s="529">
        <v>406.29</v>
      </c>
      <c r="AJ133" s="253"/>
      <c r="AK133" s="528">
        <v>125</v>
      </c>
      <c r="AL133" s="526">
        <v>294.76</v>
      </c>
      <c r="AM133" s="529">
        <v>412.66</v>
      </c>
      <c r="AN133" s="253"/>
      <c r="AO133" s="528">
        <v>125</v>
      </c>
      <c r="AP133" s="526">
        <v>299.31</v>
      </c>
      <c r="AQ133" s="529">
        <v>419.03</v>
      </c>
      <c r="AR133" s="253"/>
      <c r="AS133" s="528">
        <v>125</v>
      </c>
      <c r="AT133" s="526">
        <v>303.86</v>
      </c>
      <c r="AU133" s="529">
        <v>425.4</v>
      </c>
      <c r="AV133" s="253"/>
      <c r="AW133" s="528">
        <v>125</v>
      </c>
      <c r="AX133" s="526">
        <v>308.41000000000003</v>
      </c>
      <c r="AY133" s="529">
        <v>431.77</v>
      </c>
      <c r="AZ133" s="253"/>
      <c r="BA133" s="528">
        <v>125</v>
      </c>
      <c r="BB133" s="526">
        <v>312.95999999999998</v>
      </c>
      <c r="BC133" s="529">
        <v>438.14</v>
      </c>
      <c r="BD133" s="253"/>
      <c r="BE133" s="528">
        <v>125</v>
      </c>
      <c r="BF133" s="526">
        <v>317.51</v>
      </c>
      <c r="BG133" s="529">
        <v>444.51</v>
      </c>
      <c r="BH133" s="253"/>
      <c r="BI133" s="528">
        <v>125</v>
      </c>
      <c r="BJ133" s="526">
        <v>322.06</v>
      </c>
      <c r="BK133" s="529">
        <v>450.88</v>
      </c>
      <c r="BL133" s="253"/>
    </row>
    <row r="134" spans="1:64" ht="23.25">
      <c r="A134" s="263">
        <v>126</v>
      </c>
      <c r="B134" s="1437">
        <f t="shared" si="2"/>
        <v>278.85000000000002</v>
      </c>
      <c r="C134" s="1438">
        <f t="shared" si="3"/>
        <v>390.39</v>
      </c>
      <c r="D134" s="253"/>
      <c r="E134" s="1413">
        <v>126</v>
      </c>
      <c r="F134" s="1411">
        <v>260.5</v>
      </c>
      <c r="G134" s="1414">
        <v>364.71</v>
      </c>
      <c r="H134" s="1404"/>
      <c r="I134" s="1413">
        <v>126</v>
      </c>
      <c r="J134" s="1411">
        <v>265.08999999999997</v>
      </c>
      <c r="K134" s="1414">
        <v>371.13</v>
      </c>
      <c r="L134" s="253"/>
      <c r="M134" s="528">
        <v>126</v>
      </c>
      <c r="N134" s="526">
        <v>269.68</v>
      </c>
      <c r="O134" s="529">
        <v>377.55</v>
      </c>
      <c r="P134" s="253"/>
      <c r="Q134" s="528">
        <v>126</v>
      </c>
      <c r="R134" s="526">
        <v>274.26</v>
      </c>
      <c r="S134" s="529">
        <v>383.97</v>
      </c>
      <c r="T134" s="253"/>
      <c r="U134" s="528">
        <v>126</v>
      </c>
      <c r="V134" s="526">
        <v>278.85000000000002</v>
      </c>
      <c r="W134" s="529">
        <v>390.39</v>
      </c>
      <c r="X134" s="253"/>
      <c r="Y134" s="528">
        <v>126</v>
      </c>
      <c r="Z134" s="526">
        <v>283.44</v>
      </c>
      <c r="AA134" s="529">
        <v>396.81</v>
      </c>
      <c r="AB134" s="253"/>
      <c r="AC134" s="528">
        <v>126</v>
      </c>
      <c r="AD134" s="526">
        <v>288.02</v>
      </c>
      <c r="AE134" s="529">
        <v>403.23</v>
      </c>
      <c r="AF134" s="253"/>
      <c r="AG134" s="528">
        <v>126</v>
      </c>
      <c r="AH134" s="526">
        <v>292.61</v>
      </c>
      <c r="AI134" s="529">
        <v>409.65</v>
      </c>
      <c r="AJ134" s="253"/>
      <c r="AK134" s="528">
        <v>126</v>
      </c>
      <c r="AL134" s="526">
        <v>297.2</v>
      </c>
      <c r="AM134" s="529">
        <v>413.07</v>
      </c>
      <c r="AN134" s="253"/>
      <c r="AO134" s="528">
        <v>126</v>
      </c>
      <c r="AP134" s="526">
        <v>301.77999999999997</v>
      </c>
      <c r="AQ134" s="529">
        <v>422.49</v>
      </c>
      <c r="AR134" s="253"/>
      <c r="AS134" s="528">
        <v>126</v>
      </c>
      <c r="AT134" s="526">
        <v>306.37</v>
      </c>
      <c r="AU134" s="529">
        <v>428.92</v>
      </c>
      <c r="AV134" s="253"/>
      <c r="AW134" s="528">
        <v>126</v>
      </c>
      <c r="AX134" s="526">
        <v>310.95</v>
      </c>
      <c r="AY134" s="529">
        <v>435.34</v>
      </c>
      <c r="AZ134" s="253"/>
      <c r="BA134" s="528">
        <v>126</v>
      </c>
      <c r="BB134" s="526">
        <v>315.54000000000002</v>
      </c>
      <c r="BC134" s="529">
        <v>441.76</v>
      </c>
      <c r="BD134" s="253"/>
      <c r="BE134" s="528">
        <v>126</v>
      </c>
      <c r="BF134" s="526">
        <v>320.13</v>
      </c>
      <c r="BG134" s="529">
        <v>448.18</v>
      </c>
      <c r="BH134" s="253"/>
      <c r="BI134" s="528">
        <v>126</v>
      </c>
      <c r="BJ134" s="526">
        <v>324.70999999999998</v>
      </c>
      <c r="BK134" s="529">
        <v>454.6</v>
      </c>
      <c r="BL134" s="253"/>
    </row>
    <row r="135" spans="1:64" ht="23.25">
      <c r="A135" s="263">
        <v>127</v>
      </c>
      <c r="B135" s="1437">
        <f t="shared" si="2"/>
        <v>281.14999999999998</v>
      </c>
      <c r="C135" s="1438">
        <f t="shared" si="3"/>
        <v>393.61</v>
      </c>
      <c r="D135" s="253"/>
      <c r="E135" s="1413">
        <v>127</v>
      </c>
      <c r="F135" s="1411">
        <v>262.66000000000003</v>
      </c>
      <c r="G135" s="1414">
        <v>367.72</v>
      </c>
      <c r="H135" s="1404"/>
      <c r="I135" s="1413">
        <v>127</v>
      </c>
      <c r="J135" s="1411">
        <v>267.27999999999997</v>
      </c>
      <c r="K135" s="1414">
        <v>374.19</v>
      </c>
      <c r="L135" s="253"/>
      <c r="M135" s="528">
        <v>127</v>
      </c>
      <c r="N135" s="526">
        <v>271.89999999999998</v>
      </c>
      <c r="O135" s="529">
        <v>380.67</v>
      </c>
      <c r="P135" s="253"/>
      <c r="Q135" s="528">
        <v>127</v>
      </c>
      <c r="R135" s="526">
        <v>276.52999999999997</v>
      </c>
      <c r="S135" s="529">
        <v>387.14</v>
      </c>
      <c r="T135" s="253"/>
      <c r="U135" s="528">
        <v>127</v>
      </c>
      <c r="V135" s="526">
        <v>281.14999999999998</v>
      </c>
      <c r="W135" s="529">
        <v>393.61</v>
      </c>
      <c r="X135" s="253"/>
      <c r="Y135" s="528">
        <v>127</v>
      </c>
      <c r="Z135" s="526">
        <v>285.77</v>
      </c>
      <c r="AA135" s="529">
        <v>400.08</v>
      </c>
      <c r="AB135" s="253"/>
      <c r="AC135" s="528">
        <v>127</v>
      </c>
      <c r="AD135" s="526">
        <v>290.39999999999998</v>
      </c>
      <c r="AE135" s="529">
        <v>406.55</v>
      </c>
      <c r="AF135" s="253"/>
      <c r="AG135" s="528">
        <v>127</v>
      </c>
      <c r="AH135" s="526">
        <v>295.02</v>
      </c>
      <c r="AI135" s="529">
        <v>413.03</v>
      </c>
      <c r="AJ135" s="253"/>
      <c r="AK135" s="528">
        <v>127</v>
      </c>
      <c r="AL135" s="526">
        <v>299.64</v>
      </c>
      <c r="AM135" s="529">
        <v>473.5</v>
      </c>
      <c r="AN135" s="253"/>
      <c r="AO135" s="528">
        <v>127</v>
      </c>
      <c r="AP135" s="526">
        <v>304.26</v>
      </c>
      <c r="AQ135" s="529">
        <v>425.97</v>
      </c>
      <c r="AR135" s="253"/>
      <c r="AS135" s="528">
        <v>127</v>
      </c>
      <c r="AT135" s="526">
        <v>308.89</v>
      </c>
      <c r="AU135" s="529">
        <v>432.44</v>
      </c>
      <c r="AV135" s="253"/>
      <c r="AW135" s="528">
        <v>127</v>
      </c>
      <c r="AX135" s="526">
        <v>313.51</v>
      </c>
      <c r="AY135" s="529">
        <v>438.91</v>
      </c>
      <c r="AZ135" s="253"/>
      <c r="BA135" s="528">
        <v>127</v>
      </c>
      <c r="BB135" s="526">
        <v>318.13</v>
      </c>
      <c r="BC135" s="529">
        <v>445.39</v>
      </c>
      <c r="BD135" s="253"/>
      <c r="BE135" s="528">
        <v>127</v>
      </c>
      <c r="BF135" s="526">
        <v>322.76</v>
      </c>
      <c r="BG135" s="529">
        <v>451.86</v>
      </c>
      <c r="BH135" s="253"/>
      <c r="BI135" s="528">
        <v>127</v>
      </c>
      <c r="BJ135" s="526">
        <v>327.38</v>
      </c>
      <c r="BK135" s="529">
        <v>458.33</v>
      </c>
      <c r="BL135" s="253"/>
    </row>
    <row r="136" spans="1:64" ht="23.25">
      <c r="A136" s="263">
        <v>128</v>
      </c>
      <c r="B136" s="1437">
        <f t="shared" si="2"/>
        <v>283.19</v>
      </c>
      <c r="C136" s="1438">
        <f t="shared" si="3"/>
        <v>396.46</v>
      </c>
      <c r="D136" s="253"/>
      <c r="E136" s="1413">
        <v>128</v>
      </c>
      <c r="F136" s="1411">
        <v>264.55</v>
      </c>
      <c r="G136" s="1414">
        <v>370.37</v>
      </c>
      <c r="H136" s="1404"/>
      <c r="I136" s="1413">
        <v>128</v>
      </c>
      <c r="J136" s="1411">
        <v>269.20999999999998</v>
      </c>
      <c r="K136" s="1414">
        <v>376.89</v>
      </c>
      <c r="L136" s="253"/>
      <c r="M136" s="528">
        <v>128</v>
      </c>
      <c r="N136" s="526">
        <v>273.87</v>
      </c>
      <c r="O136" s="529">
        <v>383.41</v>
      </c>
      <c r="P136" s="253"/>
      <c r="Q136" s="528">
        <v>128</v>
      </c>
      <c r="R136" s="526">
        <v>278.52999999999997</v>
      </c>
      <c r="S136" s="529">
        <v>389.94</v>
      </c>
      <c r="T136" s="253"/>
      <c r="U136" s="528">
        <v>128</v>
      </c>
      <c r="V136" s="526">
        <v>283.19</v>
      </c>
      <c r="W136" s="529">
        <v>396.46</v>
      </c>
      <c r="X136" s="253"/>
      <c r="Y136" s="528">
        <v>128</v>
      </c>
      <c r="Z136" s="526">
        <v>287.83999999999997</v>
      </c>
      <c r="AA136" s="529">
        <v>402.98</v>
      </c>
      <c r="AB136" s="253"/>
      <c r="AC136" s="528">
        <v>128</v>
      </c>
      <c r="AD136" s="526">
        <v>292.5</v>
      </c>
      <c r="AE136" s="529">
        <v>409.51</v>
      </c>
      <c r="AF136" s="253"/>
      <c r="AG136" s="528">
        <v>128</v>
      </c>
      <c r="AH136" s="526">
        <v>297.16000000000003</v>
      </c>
      <c r="AI136" s="529">
        <v>416.03</v>
      </c>
      <c r="AJ136" s="253"/>
      <c r="AK136" s="528">
        <v>128</v>
      </c>
      <c r="AL136" s="526">
        <v>301.82</v>
      </c>
      <c r="AM136" s="529">
        <v>422.55</v>
      </c>
      <c r="AN136" s="253"/>
      <c r="AO136" s="528">
        <v>128</v>
      </c>
      <c r="AP136" s="526">
        <v>306.48</v>
      </c>
      <c r="AQ136" s="529">
        <v>429.07</v>
      </c>
      <c r="AR136" s="253"/>
      <c r="AS136" s="528">
        <v>128</v>
      </c>
      <c r="AT136" s="526">
        <v>311.14</v>
      </c>
      <c r="AU136" s="529">
        <v>435.6</v>
      </c>
      <c r="AV136" s="253"/>
      <c r="AW136" s="528">
        <v>128</v>
      </c>
      <c r="AX136" s="526">
        <v>315.8</v>
      </c>
      <c r="AY136" s="529">
        <v>442.12</v>
      </c>
      <c r="AZ136" s="253"/>
      <c r="BA136" s="528">
        <v>128</v>
      </c>
      <c r="BB136" s="526">
        <v>320.45999999999998</v>
      </c>
      <c r="BC136" s="529">
        <v>448.64</v>
      </c>
      <c r="BD136" s="253"/>
      <c r="BE136" s="528">
        <v>128</v>
      </c>
      <c r="BF136" s="526">
        <v>325.12</v>
      </c>
      <c r="BG136" s="529">
        <v>455.17</v>
      </c>
      <c r="BH136" s="253"/>
      <c r="BI136" s="528">
        <v>128</v>
      </c>
      <c r="BJ136" s="526">
        <v>329.78</v>
      </c>
      <c r="BK136" s="529">
        <v>461.69</v>
      </c>
      <c r="BL136" s="253"/>
    </row>
    <row r="137" spans="1:64" ht="23.25">
      <c r="A137" s="263">
        <v>129</v>
      </c>
      <c r="B137" s="1437">
        <f t="shared" si="2"/>
        <v>285.5</v>
      </c>
      <c r="C137" s="1438">
        <f t="shared" si="3"/>
        <v>399.7</v>
      </c>
      <c r="D137" s="253"/>
      <c r="E137" s="1413">
        <v>129</v>
      </c>
      <c r="F137" s="1411">
        <v>266.72000000000003</v>
      </c>
      <c r="G137" s="1414">
        <v>373.41</v>
      </c>
      <c r="H137" s="1404"/>
      <c r="I137" s="1413">
        <v>129</v>
      </c>
      <c r="J137" s="1411">
        <v>271.42</v>
      </c>
      <c r="K137" s="1414">
        <v>379.98</v>
      </c>
      <c r="L137" s="253"/>
      <c r="M137" s="528">
        <v>129</v>
      </c>
      <c r="N137" s="526">
        <v>276.11</v>
      </c>
      <c r="O137" s="529">
        <v>386.56</v>
      </c>
      <c r="P137" s="253"/>
      <c r="Q137" s="528">
        <v>129</v>
      </c>
      <c r="R137" s="526">
        <v>280.81</v>
      </c>
      <c r="S137" s="529">
        <v>393.13</v>
      </c>
      <c r="T137" s="253"/>
      <c r="U137" s="528">
        <v>129</v>
      </c>
      <c r="V137" s="526">
        <v>285.5</v>
      </c>
      <c r="W137" s="529">
        <v>399.7</v>
      </c>
      <c r="X137" s="253"/>
      <c r="Y137" s="528">
        <v>129</v>
      </c>
      <c r="Z137" s="526">
        <v>290.2</v>
      </c>
      <c r="AA137" s="529">
        <v>406.28</v>
      </c>
      <c r="AB137" s="253"/>
      <c r="AC137" s="528">
        <v>129</v>
      </c>
      <c r="AD137" s="526">
        <v>294.89</v>
      </c>
      <c r="AE137" s="529">
        <v>412.85</v>
      </c>
      <c r="AF137" s="253"/>
      <c r="AG137" s="528">
        <v>129</v>
      </c>
      <c r="AH137" s="526">
        <v>299.58999999999997</v>
      </c>
      <c r="AI137" s="529">
        <v>419.42</v>
      </c>
      <c r="AJ137" s="253"/>
      <c r="AK137" s="528">
        <v>129</v>
      </c>
      <c r="AL137" s="526">
        <v>304.27999999999997</v>
      </c>
      <c r="AM137" s="529">
        <v>426</v>
      </c>
      <c r="AN137" s="253"/>
      <c r="AO137" s="528">
        <v>129</v>
      </c>
      <c r="AP137" s="526">
        <v>308.98</v>
      </c>
      <c r="AQ137" s="529">
        <v>432.57</v>
      </c>
      <c r="AR137" s="253"/>
      <c r="AS137" s="528">
        <v>129</v>
      </c>
      <c r="AT137" s="526">
        <v>313.68</v>
      </c>
      <c r="AU137" s="529">
        <v>439.15</v>
      </c>
      <c r="AV137" s="253"/>
      <c r="AW137" s="528">
        <v>129</v>
      </c>
      <c r="AX137" s="526">
        <v>318.37</v>
      </c>
      <c r="AY137" s="529">
        <v>445.72</v>
      </c>
      <c r="AZ137" s="253"/>
      <c r="BA137" s="528">
        <v>129</v>
      </c>
      <c r="BB137" s="526">
        <v>323.07</v>
      </c>
      <c r="BC137" s="529">
        <v>452.29</v>
      </c>
      <c r="BD137" s="253"/>
      <c r="BE137" s="528">
        <v>129</v>
      </c>
      <c r="BF137" s="526">
        <v>327.76</v>
      </c>
      <c r="BG137" s="529">
        <v>458.87</v>
      </c>
      <c r="BH137" s="253"/>
      <c r="BI137" s="528">
        <v>129</v>
      </c>
      <c r="BJ137" s="526">
        <v>332.46</v>
      </c>
      <c r="BK137" s="529">
        <v>465.44</v>
      </c>
      <c r="BL137" s="253"/>
    </row>
    <row r="138" spans="1:64" ht="23.25">
      <c r="A138" s="263">
        <v>130</v>
      </c>
      <c r="B138" s="1437">
        <f t="shared" ref="B138:B201" si="4">IF($C$5=$G$5,F138,IF($C$5=$K$5,J138,IF($C$5=$O$5,N138,IF($C$5=$S$5,R138,IF($C$5=$W$5,V138,IF($C$5=$AA$5,Z138,IF($C$5=$AE$5,AD138,IF($C$5=$AI$5,AH138,IF($C$5=$AM$5,AL138,IF($C$5=$AQ$5,AP138,IF($C$5=$AU$5,AT138,IF($C$5=$AY$5,AX138,IF($C$5=$BC$5,BB138,IF($C$5=$BG$5,BF138,IF($C$5=$BK$5,BJ138,0)))))))))))))))</f>
        <v>287.83</v>
      </c>
      <c r="C138" s="1438">
        <f t="shared" ref="C138:C201" si="5">IF($C$5=$G$5,G138,IF($C$5=$K$5,K138,IF($C$5=$O$5,O138,IF($C$5=$S$5,S138,IF($C$5=$W$5,W138,IF($C$5=$AA$5,AA138,IF($C$5=$AE$5,AE138,IF($C$5=$AI$5,AI138,IF($C$5=$AM$5,AM138,IF($C$5=$AQ$5,AQ138,IF($C$5=$AU$5,AU138,IF($C$5=$AY$5,AY138,IF($C$5=$BC$5,BC138,IF($C$5=$BG$5,BG138,IF($C$5=$BK$5,BK138,0)))))))))))))))</f>
        <v>402.96</v>
      </c>
      <c r="D138" s="253"/>
      <c r="E138" s="1413">
        <v>130</v>
      </c>
      <c r="F138" s="1411">
        <v>268.89999999999998</v>
      </c>
      <c r="G138" s="1414">
        <v>376.46</v>
      </c>
      <c r="H138" s="1404"/>
      <c r="I138" s="1413">
        <v>130</v>
      </c>
      <c r="J138" s="1411">
        <v>273.63</v>
      </c>
      <c r="K138" s="1414">
        <v>383.09</v>
      </c>
      <c r="L138" s="253"/>
      <c r="M138" s="528">
        <v>130</v>
      </c>
      <c r="N138" s="526">
        <v>278.37</v>
      </c>
      <c r="O138" s="529">
        <v>389.71</v>
      </c>
      <c r="P138" s="253"/>
      <c r="Q138" s="528">
        <v>130</v>
      </c>
      <c r="R138" s="526">
        <v>283.10000000000002</v>
      </c>
      <c r="S138" s="529">
        <v>396.34</v>
      </c>
      <c r="T138" s="253"/>
      <c r="U138" s="528">
        <v>130</v>
      </c>
      <c r="V138" s="526">
        <v>287.83</v>
      </c>
      <c r="W138" s="529">
        <v>402.96</v>
      </c>
      <c r="X138" s="253"/>
      <c r="Y138" s="528">
        <v>130</v>
      </c>
      <c r="Z138" s="526">
        <v>292.56</v>
      </c>
      <c r="AA138" s="529">
        <v>409.59</v>
      </c>
      <c r="AB138" s="253"/>
      <c r="AC138" s="528">
        <v>130</v>
      </c>
      <c r="AD138" s="526">
        <v>297.29000000000002</v>
      </c>
      <c r="AE138" s="529">
        <v>416.21</v>
      </c>
      <c r="AF138" s="253"/>
      <c r="AG138" s="528">
        <v>130</v>
      </c>
      <c r="AH138" s="526">
        <v>302.02999999999997</v>
      </c>
      <c r="AI138" s="529">
        <v>422.84</v>
      </c>
      <c r="AJ138" s="253"/>
      <c r="AK138" s="528">
        <v>130</v>
      </c>
      <c r="AL138" s="526">
        <v>306.76</v>
      </c>
      <c r="AM138" s="529">
        <v>429.46</v>
      </c>
      <c r="AN138" s="253"/>
      <c r="AO138" s="528">
        <v>130</v>
      </c>
      <c r="AP138" s="526">
        <v>311.49</v>
      </c>
      <c r="AQ138" s="529">
        <v>436.08</v>
      </c>
      <c r="AR138" s="253"/>
      <c r="AS138" s="528">
        <v>130</v>
      </c>
      <c r="AT138" s="526">
        <v>316.22000000000003</v>
      </c>
      <c r="AU138" s="529">
        <v>442.71</v>
      </c>
      <c r="AV138" s="253"/>
      <c r="AW138" s="528">
        <v>130</v>
      </c>
      <c r="AX138" s="526">
        <v>320.95</v>
      </c>
      <c r="AY138" s="529">
        <v>449.33</v>
      </c>
      <c r="AZ138" s="253"/>
      <c r="BA138" s="528">
        <v>130</v>
      </c>
      <c r="BB138" s="526">
        <v>325.69</v>
      </c>
      <c r="BC138" s="529">
        <v>455.96</v>
      </c>
      <c r="BD138" s="253"/>
      <c r="BE138" s="528">
        <v>130</v>
      </c>
      <c r="BF138" s="526">
        <v>330.42</v>
      </c>
      <c r="BG138" s="529">
        <v>462.58</v>
      </c>
      <c r="BH138" s="253"/>
      <c r="BI138" s="528">
        <v>130</v>
      </c>
      <c r="BJ138" s="526">
        <v>335.15</v>
      </c>
      <c r="BK138" s="529">
        <v>469.21</v>
      </c>
      <c r="BL138" s="253"/>
    </row>
    <row r="139" spans="1:64" ht="23.25">
      <c r="A139" s="263">
        <v>131</v>
      </c>
      <c r="B139" s="1437">
        <f t="shared" si="4"/>
        <v>289.88</v>
      </c>
      <c r="C139" s="1438">
        <f t="shared" si="5"/>
        <v>405.83</v>
      </c>
      <c r="D139" s="253"/>
      <c r="E139" s="1413">
        <v>131</v>
      </c>
      <c r="F139" s="1411">
        <v>270.8</v>
      </c>
      <c r="G139" s="1414">
        <v>379.13</v>
      </c>
      <c r="H139" s="1404"/>
      <c r="I139" s="1413">
        <v>131</v>
      </c>
      <c r="J139" s="1411">
        <v>275.57</v>
      </c>
      <c r="K139" s="1414">
        <v>385.8</v>
      </c>
      <c r="L139" s="253"/>
      <c r="M139" s="528">
        <v>131</v>
      </c>
      <c r="N139" s="526">
        <v>280.33999999999997</v>
      </c>
      <c r="O139" s="529">
        <v>392.48</v>
      </c>
      <c r="P139" s="253"/>
      <c r="Q139" s="528">
        <v>131</v>
      </c>
      <c r="R139" s="526">
        <v>285.11</v>
      </c>
      <c r="S139" s="529">
        <v>399.15</v>
      </c>
      <c r="T139" s="253"/>
      <c r="U139" s="528">
        <v>131</v>
      </c>
      <c r="V139" s="526">
        <v>289.88</v>
      </c>
      <c r="W139" s="529">
        <v>405.83</v>
      </c>
      <c r="X139" s="253"/>
      <c r="Y139" s="528">
        <v>131</v>
      </c>
      <c r="Z139" s="526">
        <v>294.64999999999998</v>
      </c>
      <c r="AA139" s="529">
        <v>412.5</v>
      </c>
      <c r="AB139" s="253"/>
      <c r="AC139" s="528">
        <v>131</v>
      </c>
      <c r="AD139" s="526">
        <v>299.41000000000003</v>
      </c>
      <c r="AE139" s="529">
        <v>419.18</v>
      </c>
      <c r="AF139" s="253"/>
      <c r="AG139" s="528">
        <v>131</v>
      </c>
      <c r="AH139" s="526">
        <v>304.18</v>
      </c>
      <c r="AI139" s="529">
        <v>425.86</v>
      </c>
      <c r="AJ139" s="253"/>
      <c r="AK139" s="528">
        <v>131</v>
      </c>
      <c r="AL139" s="526">
        <v>308.95</v>
      </c>
      <c r="AM139" s="529">
        <v>432.53</v>
      </c>
      <c r="AN139" s="253"/>
      <c r="AO139" s="528">
        <v>131</v>
      </c>
      <c r="AP139" s="526">
        <v>313.72000000000003</v>
      </c>
      <c r="AQ139" s="529">
        <v>439.21</v>
      </c>
      <c r="AR139" s="253"/>
      <c r="AS139" s="528">
        <v>131</v>
      </c>
      <c r="AT139" s="526">
        <v>318.49</v>
      </c>
      <c r="AU139" s="529">
        <v>445.88</v>
      </c>
      <c r="AV139" s="253"/>
      <c r="AW139" s="528">
        <v>131</v>
      </c>
      <c r="AX139" s="526">
        <v>323.26</v>
      </c>
      <c r="AY139" s="529">
        <v>452.56</v>
      </c>
      <c r="AZ139" s="253"/>
      <c r="BA139" s="528">
        <v>131</v>
      </c>
      <c r="BB139" s="526">
        <v>328.03</v>
      </c>
      <c r="BC139" s="529">
        <v>459.24</v>
      </c>
      <c r="BD139" s="253"/>
      <c r="BE139" s="528">
        <v>131</v>
      </c>
      <c r="BF139" s="526">
        <v>332.79</v>
      </c>
      <c r="BG139" s="529">
        <v>465.91</v>
      </c>
      <c r="BH139" s="253"/>
      <c r="BI139" s="528">
        <v>131</v>
      </c>
      <c r="BJ139" s="526">
        <v>337.56</v>
      </c>
      <c r="BK139" s="529">
        <v>472.59</v>
      </c>
      <c r="BL139" s="253"/>
    </row>
    <row r="140" spans="1:64" ht="23.25">
      <c r="A140" s="263">
        <v>132</v>
      </c>
      <c r="B140" s="1437">
        <f t="shared" si="4"/>
        <v>292.22000000000003</v>
      </c>
      <c r="C140" s="1438">
        <f t="shared" si="5"/>
        <v>409.11</v>
      </c>
      <c r="D140" s="253"/>
      <c r="E140" s="1413">
        <v>132</v>
      </c>
      <c r="F140" s="1411">
        <v>273</v>
      </c>
      <c r="G140" s="1414">
        <v>382.2</v>
      </c>
      <c r="H140" s="1404"/>
      <c r="I140" s="1413">
        <v>132</v>
      </c>
      <c r="J140" s="1411">
        <v>277.81</v>
      </c>
      <c r="K140" s="1414">
        <v>388.93</v>
      </c>
      <c r="L140" s="253"/>
      <c r="M140" s="528">
        <v>132</v>
      </c>
      <c r="N140" s="526">
        <v>282.61</v>
      </c>
      <c r="O140" s="529">
        <v>395.66</v>
      </c>
      <c r="P140" s="253"/>
      <c r="Q140" s="528">
        <v>132</v>
      </c>
      <c r="R140" s="526">
        <v>287.42</v>
      </c>
      <c r="S140" s="529">
        <v>402.38</v>
      </c>
      <c r="T140" s="253"/>
      <c r="U140" s="528">
        <v>132</v>
      </c>
      <c r="V140" s="526">
        <v>292.22000000000003</v>
      </c>
      <c r="W140" s="529">
        <v>409.11</v>
      </c>
      <c r="X140" s="253"/>
      <c r="Y140" s="528">
        <v>132</v>
      </c>
      <c r="Z140" s="526">
        <v>297.02999999999997</v>
      </c>
      <c r="AA140" s="529">
        <v>415.84</v>
      </c>
      <c r="AB140" s="253"/>
      <c r="AC140" s="528">
        <v>132</v>
      </c>
      <c r="AD140" s="526">
        <v>301.83</v>
      </c>
      <c r="AE140" s="529">
        <v>422.56</v>
      </c>
      <c r="AF140" s="253"/>
      <c r="AG140" s="528">
        <v>132</v>
      </c>
      <c r="AH140" s="526">
        <v>306.64</v>
      </c>
      <c r="AI140" s="529">
        <v>429.29</v>
      </c>
      <c r="AJ140" s="253"/>
      <c r="AK140" s="528">
        <v>132</v>
      </c>
      <c r="AL140" s="526">
        <v>311.44</v>
      </c>
      <c r="AM140" s="529">
        <v>436.02</v>
      </c>
      <c r="AN140" s="253"/>
      <c r="AO140" s="528">
        <v>132</v>
      </c>
      <c r="AP140" s="526">
        <v>316.25</v>
      </c>
      <c r="AQ140" s="529">
        <v>442.74</v>
      </c>
      <c r="AR140" s="253"/>
      <c r="AS140" s="528">
        <v>132</v>
      </c>
      <c r="AT140" s="526">
        <v>321.05</v>
      </c>
      <c r="AU140" s="529">
        <v>449.47</v>
      </c>
      <c r="AV140" s="253"/>
      <c r="AW140" s="528">
        <v>132</v>
      </c>
      <c r="AX140" s="526">
        <v>325.86</v>
      </c>
      <c r="AY140" s="529">
        <v>456.2</v>
      </c>
      <c r="AZ140" s="253"/>
      <c r="BA140" s="528">
        <v>132</v>
      </c>
      <c r="BB140" s="526">
        <v>330.66</v>
      </c>
      <c r="BC140" s="529">
        <v>462.92</v>
      </c>
      <c r="BD140" s="253"/>
      <c r="BE140" s="528">
        <v>132</v>
      </c>
      <c r="BF140" s="526">
        <v>335.46</v>
      </c>
      <c r="BG140" s="529">
        <v>469.65</v>
      </c>
      <c r="BH140" s="253"/>
      <c r="BI140" s="528">
        <v>132</v>
      </c>
      <c r="BJ140" s="526">
        <v>340.27</v>
      </c>
      <c r="BK140" s="529">
        <v>476.38</v>
      </c>
      <c r="BL140" s="253"/>
    </row>
    <row r="141" spans="1:64" ht="23.25">
      <c r="A141" s="263">
        <v>133</v>
      </c>
      <c r="B141" s="1437">
        <f t="shared" si="4"/>
        <v>294.27999999999997</v>
      </c>
      <c r="C141" s="1438">
        <f t="shared" si="5"/>
        <v>411.99</v>
      </c>
      <c r="D141" s="253"/>
      <c r="E141" s="1413">
        <v>133</v>
      </c>
      <c r="F141" s="1411">
        <v>274.91000000000003</v>
      </c>
      <c r="G141" s="1414">
        <v>384.88</v>
      </c>
      <c r="H141" s="1404"/>
      <c r="I141" s="1413">
        <v>133</v>
      </c>
      <c r="J141" s="1411">
        <v>279.76</v>
      </c>
      <c r="K141" s="1414">
        <v>391.66</v>
      </c>
      <c r="L141" s="253"/>
      <c r="M141" s="528">
        <v>133</v>
      </c>
      <c r="N141" s="526">
        <v>284.60000000000002</v>
      </c>
      <c r="O141" s="529">
        <v>398.44</v>
      </c>
      <c r="P141" s="253"/>
      <c r="Q141" s="528">
        <v>133</v>
      </c>
      <c r="R141" s="526">
        <v>289.44</v>
      </c>
      <c r="S141" s="529">
        <v>405.21</v>
      </c>
      <c r="T141" s="253"/>
      <c r="U141" s="528">
        <v>133</v>
      </c>
      <c r="V141" s="526">
        <v>294.27999999999997</v>
      </c>
      <c r="W141" s="529">
        <v>411.99</v>
      </c>
      <c r="X141" s="253"/>
      <c r="Y141" s="528">
        <v>133</v>
      </c>
      <c r="Z141" s="526">
        <v>299.12</v>
      </c>
      <c r="AA141" s="529">
        <v>418.77</v>
      </c>
      <c r="AB141" s="253"/>
      <c r="AC141" s="528">
        <v>133</v>
      </c>
      <c r="AD141" s="526">
        <v>303.95999999999998</v>
      </c>
      <c r="AE141" s="529">
        <v>425.55</v>
      </c>
      <c r="AF141" s="253"/>
      <c r="AG141" s="528">
        <v>133</v>
      </c>
      <c r="AH141" s="526">
        <v>308.8</v>
      </c>
      <c r="AI141" s="529">
        <v>432.32</v>
      </c>
      <c r="AJ141" s="253"/>
      <c r="AK141" s="528">
        <v>133</v>
      </c>
      <c r="AL141" s="526">
        <v>313.64</v>
      </c>
      <c r="AM141" s="529">
        <v>439.1</v>
      </c>
      <c r="AN141" s="253"/>
      <c r="AO141" s="528">
        <v>133</v>
      </c>
      <c r="AP141" s="526">
        <v>318.48</v>
      </c>
      <c r="AQ141" s="529">
        <v>445.88</v>
      </c>
      <c r="AR141" s="253"/>
      <c r="AS141" s="528">
        <v>133</v>
      </c>
      <c r="AT141" s="526">
        <v>323.33</v>
      </c>
      <c r="AU141" s="529">
        <v>452.66</v>
      </c>
      <c r="AV141" s="253"/>
      <c r="AW141" s="528">
        <v>133</v>
      </c>
      <c r="AX141" s="526">
        <v>328.17</v>
      </c>
      <c r="AY141" s="529">
        <v>459.43</v>
      </c>
      <c r="AZ141" s="253"/>
      <c r="BA141" s="528">
        <v>133</v>
      </c>
      <c r="BB141" s="526">
        <v>333.01</v>
      </c>
      <c r="BC141" s="529">
        <v>466.21</v>
      </c>
      <c r="BD141" s="253"/>
      <c r="BE141" s="528">
        <v>133</v>
      </c>
      <c r="BF141" s="526">
        <v>337.85</v>
      </c>
      <c r="BG141" s="529">
        <v>472.99</v>
      </c>
      <c r="BH141" s="253"/>
      <c r="BI141" s="528">
        <v>133</v>
      </c>
      <c r="BJ141" s="526">
        <v>342.69</v>
      </c>
      <c r="BK141" s="529">
        <v>479.77</v>
      </c>
      <c r="BL141" s="253"/>
    </row>
    <row r="142" spans="1:64" ht="23.25">
      <c r="A142" s="263">
        <v>134</v>
      </c>
      <c r="B142" s="1437">
        <f t="shared" si="4"/>
        <v>296.64</v>
      </c>
      <c r="C142" s="1438">
        <f t="shared" si="5"/>
        <v>415.3</v>
      </c>
      <c r="D142" s="253"/>
      <c r="E142" s="1413">
        <v>134</v>
      </c>
      <c r="F142" s="1411">
        <v>277.13</v>
      </c>
      <c r="G142" s="1414">
        <v>387.98</v>
      </c>
      <c r="H142" s="1404"/>
      <c r="I142" s="1413">
        <v>134</v>
      </c>
      <c r="J142" s="1411">
        <v>282.01</v>
      </c>
      <c r="K142" s="1414">
        <v>394.81</v>
      </c>
      <c r="L142" s="253"/>
      <c r="M142" s="528">
        <v>134</v>
      </c>
      <c r="N142" s="526">
        <v>286.89</v>
      </c>
      <c r="O142" s="529">
        <v>401.64</v>
      </c>
      <c r="P142" s="253"/>
      <c r="Q142" s="528">
        <v>134</v>
      </c>
      <c r="R142" s="526">
        <v>291.76</v>
      </c>
      <c r="S142" s="529">
        <v>408.47</v>
      </c>
      <c r="T142" s="253"/>
      <c r="U142" s="528">
        <v>134</v>
      </c>
      <c r="V142" s="526">
        <v>296.64</v>
      </c>
      <c r="W142" s="529">
        <v>415.3</v>
      </c>
      <c r="X142" s="253"/>
      <c r="Y142" s="528">
        <v>134</v>
      </c>
      <c r="Z142" s="526">
        <v>301.52</v>
      </c>
      <c r="AA142" s="529">
        <v>422.12</v>
      </c>
      <c r="AB142" s="253"/>
      <c r="AC142" s="528">
        <v>134</v>
      </c>
      <c r="AD142" s="526">
        <v>306.39999999999998</v>
      </c>
      <c r="AE142" s="529">
        <v>428.95</v>
      </c>
      <c r="AF142" s="253"/>
      <c r="AG142" s="528">
        <v>134</v>
      </c>
      <c r="AH142" s="526">
        <v>311.27</v>
      </c>
      <c r="AI142" s="529">
        <v>435.78</v>
      </c>
      <c r="AJ142" s="253"/>
      <c r="AK142" s="528">
        <v>134</v>
      </c>
      <c r="AL142" s="526">
        <v>316.14999999999998</v>
      </c>
      <c r="AM142" s="529">
        <v>442.61</v>
      </c>
      <c r="AN142" s="253"/>
      <c r="AO142" s="528">
        <v>134</v>
      </c>
      <c r="AP142" s="526">
        <v>321.02999999999997</v>
      </c>
      <c r="AQ142" s="529">
        <v>449.44</v>
      </c>
      <c r="AR142" s="253"/>
      <c r="AS142" s="528">
        <v>134</v>
      </c>
      <c r="AT142" s="526">
        <v>325.91000000000003</v>
      </c>
      <c r="AU142" s="529">
        <v>456.27</v>
      </c>
      <c r="AV142" s="253"/>
      <c r="AW142" s="528">
        <v>134</v>
      </c>
      <c r="AX142" s="526">
        <v>330.78</v>
      </c>
      <c r="AY142" s="529">
        <v>463.1</v>
      </c>
      <c r="AZ142" s="253"/>
      <c r="BA142" s="528">
        <v>134</v>
      </c>
      <c r="BB142" s="526">
        <v>335.66</v>
      </c>
      <c r="BC142" s="529">
        <v>469.93</v>
      </c>
      <c r="BD142" s="253"/>
      <c r="BE142" s="528">
        <v>134</v>
      </c>
      <c r="BF142" s="526">
        <v>340.54</v>
      </c>
      <c r="BG142" s="529">
        <v>476.75</v>
      </c>
      <c r="BH142" s="253"/>
      <c r="BI142" s="528">
        <v>134</v>
      </c>
      <c r="BJ142" s="526">
        <v>345.42</v>
      </c>
      <c r="BK142" s="529">
        <v>483.58</v>
      </c>
      <c r="BL142" s="253"/>
    </row>
    <row r="143" spans="1:64" ht="23.25">
      <c r="A143" s="263">
        <v>135</v>
      </c>
      <c r="B143" s="1437">
        <f t="shared" si="4"/>
        <v>298.70999999999998</v>
      </c>
      <c r="C143" s="1438">
        <f t="shared" si="5"/>
        <v>418.19</v>
      </c>
      <c r="D143" s="253"/>
      <c r="E143" s="1413">
        <v>135</v>
      </c>
      <c r="F143" s="1411">
        <v>279.05</v>
      </c>
      <c r="G143" s="1414">
        <v>390.67</v>
      </c>
      <c r="H143" s="1404"/>
      <c r="I143" s="1413">
        <v>135</v>
      </c>
      <c r="J143" s="1411">
        <v>283.95999999999998</v>
      </c>
      <c r="K143" s="1414">
        <v>397.55</v>
      </c>
      <c r="L143" s="253"/>
      <c r="M143" s="528">
        <v>135</v>
      </c>
      <c r="N143" s="526">
        <v>288.88</v>
      </c>
      <c r="O143" s="529">
        <v>404.43</v>
      </c>
      <c r="P143" s="253"/>
      <c r="Q143" s="528">
        <v>135</v>
      </c>
      <c r="R143" s="526">
        <v>293.79000000000002</v>
      </c>
      <c r="S143" s="529">
        <v>411.31</v>
      </c>
      <c r="T143" s="253"/>
      <c r="U143" s="528">
        <v>135</v>
      </c>
      <c r="V143" s="526">
        <v>298.70999999999998</v>
      </c>
      <c r="W143" s="529">
        <v>418.19</v>
      </c>
      <c r="X143" s="253"/>
      <c r="Y143" s="528">
        <v>135</v>
      </c>
      <c r="Z143" s="526">
        <v>303.62</v>
      </c>
      <c r="AA143" s="529">
        <v>425.07</v>
      </c>
      <c r="AB143" s="253"/>
      <c r="AC143" s="528">
        <v>135</v>
      </c>
      <c r="AD143" s="526">
        <v>308.52999999999997</v>
      </c>
      <c r="AE143" s="529">
        <v>431.95</v>
      </c>
      <c r="AF143" s="253"/>
      <c r="AG143" s="528">
        <v>135</v>
      </c>
      <c r="AH143" s="526">
        <v>313.45</v>
      </c>
      <c r="AI143" s="529">
        <v>438.83</v>
      </c>
      <c r="AJ143" s="253"/>
      <c r="AK143" s="528">
        <v>135</v>
      </c>
      <c r="AL143" s="526">
        <v>318.36</v>
      </c>
      <c r="AM143" s="529">
        <v>445.71</v>
      </c>
      <c r="AN143" s="253"/>
      <c r="AO143" s="528">
        <v>135</v>
      </c>
      <c r="AP143" s="526">
        <v>323.27999999999997</v>
      </c>
      <c r="AQ143" s="529">
        <v>452.59</v>
      </c>
      <c r="AR143" s="253"/>
      <c r="AS143" s="528">
        <v>135</v>
      </c>
      <c r="AT143" s="526">
        <v>328.19</v>
      </c>
      <c r="AU143" s="529">
        <v>459.47</v>
      </c>
      <c r="AV143" s="253"/>
      <c r="AW143" s="528">
        <v>135</v>
      </c>
      <c r="AX143" s="526">
        <v>333.1</v>
      </c>
      <c r="AY143" s="529">
        <v>466.35</v>
      </c>
      <c r="AZ143" s="253"/>
      <c r="BA143" s="528">
        <v>135</v>
      </c>
      <c r="BB143" s="526">
        <v>338.02</v>
      </c>
      <c r="BC143" s="529">
        <v>473.23</v>
      </c>
      <c r="BD143" s="253"/>
      <c r="BE143" s="528">
        <v>135</v>
      </c>
      <c r="BF143" s="526">
        <v>342.93</v>
      </c>
      <c r="BG143" s="529">
        <v>480.11</v>
      </c>
      <c r="BH143" s="253"/>
      <c r="BI143" s="528">
        <v>135</v>
      </c>
      <c r="BJ143" s="526">
        <v>347.85</v>
      </c>
      <c r="BK143" s="529">
        <v>486.98</v>
      </c>
      <c r="BL143" s="253"/>
    </row>
    <row r="144" spans="1:64" ht="23.25">
      <c r="A144" s="263">
        <v>136</v>
      </c>
      <c r="B144" s="1437">
        <f t="shared" si="4"/>
        <v>300.77999999999997</v>
      </c>
      <c r="C144" s="1438">
        <f t="shared" si="5"/>
        <v>421.09</v>
      </c>
      <c r="D144" s="253"/>
      <c r="E144" s="1413">
        <v>136</v>
      </c>
      <c r="F144" s="1411">
        <v>280.97000000000003</v>
      </c>
      <c r="G144" s="1414">
        <v>393.36</v>
      </c>
      <c r="H144" s="1404"/>
      <c r="I144" s="1413">
        <v>136</v>
      </c>
      <c r="J144" s="1411">
        <v>285.92</v>
      </c>
      <c r="K144" s="1414">
        <v>400.29</v>
      </c>
      <c r="L144" s="253"/>
      <c r="M144" s="528">
        <v>136</v>
      </c>
      <c r="N144" s="526">
        <v>290.87</v>
      </c>
      <c r="O144" s="529">
        <v>407.22</v>
      </c>
      <c r="P144" s="253"/>
      <c r="Q144" s="528">
        <v>136</v>
      </c>
      <c r="R144" s="526">
        <v>295.83</v>
      </c>
      <c r="S144" s="529">
        <v>414.16</v>
      </c>
      <c r="T144" s="253"/>
      <c r="U144" s="528">
        <v>136</v>
      </c>
      <c r="V144" s="526">
        <v>300.77999999999997</v>
      </c>
      <c r="W144" s="529">
        <v>421.09</v>
      </c>
      <c r="X144" s="253"/>
      <c r="Y144" s="528">
        <v>136</v>
      </c>
      <c r="Z144" s="526">
        <v>305.73</v>
      </c>
      <c r="AA144" s="529">
        <v>428.02</v>
      </c>
      <c r="AB144" s="253"/>
      <c r="AC144" s="528">
        <v>136</v>
      </c>
      <c r="AD144" s="526">
        <v>310.68</v>
      </c>
      <c r="AE144" s="529">
        <v>434.95</v>
      </c>
      <c r="AF144" s="253"/>
      <c r="AG144" s="528">
        <v>136</v>
      </c>
      <c r="AH144" s="526">
        <v>315.63</v>
      </c>
      <c r="AI144" s="529">
        <v>441.88</v>
      </c>
      <c r="AJ144" s="253"/>
      <c r="AK144" s="528">
        <v>136</v>
      </c>
      <c r="AL144" s="526">
        <v>320.58</v>
      </c>
      <c r="AM144" s="529">
        <v>448.81</v>
      </c>
      <c r="AN144" s="253"/>
      <c r="AO144" s="528">
        <v>136</v>
      </c>
      <c r="AP144" s="526">
        <v>325.52999999999997</v>
      </c>
      <c r="AQ144" s="529">
        <v>455.74</v>
      </c>
      <c r="AR144" s="253"/>
      <c r="AS144" s="528">
        <v>136</v>
      </c>
      <c r="AT144" s="526">
        <v>330.48</v>
      </c>
      <c r="AU144" s="529">
        <v>462.67</v>
      </c>
      <c r="AV144" s="253"/>
      <c r="AW144" s="528">
        <v>136</v>
      </c>
      <c r="AX144" s="526">
        <v>335.43</v>
      </c>
      <c r="AY144" s="529">
        <v>469.6</v>
      </c>
      <c r="AZ144" s="253"/>
      <c r="BA144" s="528">
        <v>136</v>
      </c>
      <c r="BB144" s="526">
        <v>340.38</v>
      </c>
      <c r="BC144" s="529">
        <v>476.53</v>
      </c>
      <c r="BD144" s="253"/>
      <c r="BE144" s="528">
        <v>136</v>
      </c>
      <c r="BF144" s="526">
        <v>345.33</v>
      </c>
      <c r="BG144" s="529">
        <v>483.46</v>
      </c>
      <c r="BH144" s="253"/>
      <c r="BI144" s="528">
        <v>136</v>
      </c>
      <c r="BJ144" s="526">
        <v>350.28</v>
      </c>
      <c r="BK144" s="529">
        <v>490.39</v>
      </c>
      <c r="BL144" s="253"/>
    </row>
    <row r="145" spans="1:64" ht="23.25">
      <c r="A145" s="263">
        <v>137</v>
      </c>
      <c r="B145" s="1437">
        <f t="shared" si="4"/>
        <v>303.16000000000003</v>
      </c>
      <c r="C145" s="1438">
        <f t="shared" si="5"/>
        <v>424.43</v>
      </c>
      <c r="D145" s="253"/>
      <c r="E145" s="1413">
        <v>137</v>
      </c>
      <c r="F145" s="1411">
        <v>283.20999999999998</v>
      </c>
      <c r="G145" s="1414">
        <v>396.5</v>
      </c>
      <c r="H145" s="1404"/>
      <c r="I145" s="1413">
        <v>137</v>
      </c>
      <c r="J145" s="1411">
        <v>288.2</v>
      </c>
      <c r="K145" s="1414">
        <v>403.48</v>
      </c>
      <c r="L145" s="253"/>
      <c r="M145" s="528">
        <v>137</v>
      </c>
      <c r="N145" s="526">
        <v>293.19</v>
      </c>
      <c r="O145" s="529">
        <v>410.46</v>
      </c>
      <c r="P145" s="253"/>
      <c r="Q145" s="528">
        <v>137</v>
      </c>
      <c r="R145" s="526">
        <v>295.17</v>
      </c>
      <c r="S145" s="529">
        <v>417.44</v>
      </c>
      <c r="T145" s="253"/>
      <c r="U145" s="528">
        <v>137</v>
      </c>
      <c r="V145" s="526">
        <v>303.16000000000003</v>
      </c>
      <c r="W145" s="529">
        <v>424.43</v>
      </c>
      <c r="X145" s="253"/>
      <c r="Y145" s="528">
        <v>137</v>
      </c>
      <c r="Z145" s="526">
        <v>308.14999999999998</v>
      </c>
      <c r="AA145" s="529">
        <v>431.41</v>
      </c>
      <c r="AB145" s="253"/>
      <c r="AC145" s="528">
        <v>137</v>
      </c>
      <c r="AD145" s="526">
        <v>313.14</v>
      </c>
      <c r="AE145" s="529">
        <v>438.39</v>
      </c>
      <c r="AF145" s="253"/>
      <c r="AG145" s="528">
        <v>137</v>
      </c>
      <c r="AH145" s="526">
        <v>318.12</v>
      </c>
      <c r="AI145" s="529">
        <v>445.37</v>
      </c>
      <c r="AJ145" s="253"/>
      <c r="AK145" s="528">
        <v>137</v>
      </c>
      <c r="AL145" s="526">
        <v>323.11</v>
      </c>
      <c r="AM145" s="529">
        <v>452.35</v>
      </c>
      <c r="AN145" s="253"/>
      <c r="AO145" s="528">
        <v>137</v>
      </c>
      <c r="AP145" s="526">
        <v>328.1</v>
      </c>
      <c r="AQ145" s="529">
        <v>459.33</v>
      </c>
      <c r="AR145" s="253"/>
      <c r="AS145" s="528">
        <v>137</v>
      </c>
      <c r="AT145" s="526">
        <v>333.08</v>
      </c>
      <c r="AU145" s="529">
        <v>466.32</v>
      </c>
      <c r="AV145" s="253"/>
      <c r="AW145" s="528">
        <v>137</v>
      </c>
      <c r="AX145" s="526">
        <v>338.07</v>
      </c>
      <c r="AY145" s="529">
        <v>473.3</v>
      </c>
      <c r="AZ145" s="253"/>
      <c r="BA145" s="528">
        <v>137</v>
      </c>
      <c r="BB145" s="526">
        <v>343.06</v>
      </c>
      <c r="BC145" s="529">
        <v>480.28</v>
      </c>
      <c r="BD145" s="253"/>
      <c r="BE145" s="528">
        <v>137</v>
      </c>
      <c r="BF145" s="526">
        <v>348.04</v>
      </c>
      <c r="BG145" s="529">
        <v>487.26</v>
      </c>
      <c r="BH145" s="253"/>
      <c r="BI145" s="528">
        <v>137</v>
      </c>
      <c r="BJ145" s="526">
        <v>353.03</v>
      </c>
      <c r="BK145" s="529">
        <v>494.24</v>
      </c>
      <c r="BL145" s="253"/>
    </row>
    <row r="146" spans="1:64" ht="23.25">
      <c r="A146" s="263">
        <v>138</v>
      </c>
      <c r="B146" s="1437">
        <f t="shared" si="4"/>
        <v>305.24</v>
      </c>
      <c r="C146" s="1438">
        <f t="shared" si="5"/>
        <v>427.34</v>
      </c>
      <c r="D146" s="253"/>
      <c r="E146" s="1413">
        <v>138</v>
      </c>
      <c r="F146" s="1411">
        <v>285.14999999999998</v>
      </c>
      <c r="G146" s="1414">
        <v>399.21</v>
      </c>
      <c r="H146" s="1404"/>
      <c r="I146" s="1413">
        <v>138</v>
      </c>
      <c r="J146" s="1411">
        <v>290.17</v>
      </c>
      <c r="K146" s="1414">
        <v>406.24</v>
      </c>
      <c r="L146" s="253"/>
      <c r="M146" s="528">
        <v>138</v>
      </c>
      <c r="N146" s="526">
        <v>295.19</v>
      </c>
      <c r="O146" s="529">
        <v>413.27</v>
      </c>
      <c r="P146" s="253"/>
      <c r="Q146" s="528">
        <v>138</v>
      </c>
      <c r="R146" s="526">
        <v>300.22000000000003</v>
      </c>
      <c r="S146" s="529">
        <v>420.3</v>
      </c>
      <c r="T146" s="253"/>
      <c r="U146" s="528">
        <v>138</v>
      </c>
      <c r="V146" s="526">
        <v>305.24</v>
      </c>
      <c r="W146" s="529">
        <v>427.34</v>
      </c>
      <c r="X146" s="253"/>
      <c r="Y146" s="528">
        <v>138</v>
      </c>
      <c r="Z146" s="526">
        <v>310.26</v>
      </c>
      <c r="AA146" s="529">
        <v>434.37</v>
      </c>
      <c r="AB146" s="253"/>
      <c r="AC146" s="528">
        <v>138</v>
      </c>
      <c r="AD146" s="526">
        <v>315.29000000000002</v>
      </c>
      <c r="AE146" s="529">
        <v>441.4</v>
      </c>
      <c r="AF146" s="253"/>
      <c r="AG146" s="528">
        <v>138</v>
      </c>
      <c r="AH146" s="526">
        <v>320.31</v>
      </c>
      <c r="AI146" s="529">
        <v>448.43</v>
      </c>
      <c r="AJ146" s="253"/>
      <c r="AK146" s="528">
        <v>138</v>
      </c>
      <c r="AL146" s="526">
        <v>325.33</v>
      </c>
      <c r="AM146" s="529">
        <v>455.47</v>
      </c>
      <c r="AN146" s="253"/>
      <c r="AO146" s="528">
        <v>138</v>
      </c>
      <c r="AP146" s="526">
        <v>330.36</v>
      </c>
      <c r="AQ146" s="529">
        <v>462.5</v>
      </c>
      <c r="AR146" s="253"/>
      <c r="AS146" s="528">
        <v>138</v>
      </c>
      <c r="AT146" s="526">
        <v>335.38</v>
      </c>
      <c r="AU146" s="529">
        <v>469.53</v>
      </c>
      <c r="AV146" s="253"/>
      <c r="AW146" s="528">
        <v>138</v>
      </c>
      <c r="AX146" s="526">
        <v>340.4</v>
      </c>
      <c r="AY146" s="529">
        <v>476.56</v>
      </c>
      <c r="AZ146" s="253"/>
      <c r="BA146" s="528">
        <v>138</v>
      </c>
      <c r="BB146" s="526">
        <v>345.43</v>
      </c>
      <c r="BC146" s="529">
        <v>483.6</v>
      </c>
      <c r="BD146" s="253"/>
      <c r="BE146" s="528">
        <v>138</v>
      </c>
      <c r="BF146" s="526">
        <v>350.45</v>
      </c>
      <c r="BG146" s="529">
        <v>490.63</v>
      </c>
      <c r="BH146" s="253"/>
      <c r="BI146" s="528">
        <v>138</v>
      </c>
      <c r="BJ146" s="526">
        <v>355.47</v>
      </c>
      <c r="BK146" s="529">
        <v>497.66</v>
      </c>
      <c r="BL146" s="253"/>
    </row>
    <row r="147" spans="1:64" ht="23.25">
      <c r="A147" s="263">
        <v>139</v>
      </c>
      <c r="B147" s="1437">
        <f t="shared" si="4"/>
        <v>307.64999999999998</v>
      </c>
      <c r="C147" s="1438">
        <f t="shared" si="5"/>
        <v>430.7</v>
      </c>
      <c r="D147" s="253"/>
      <c r="E147" s="1413">
        <v>139</v>
      </c>
      <c r="F147" s="1411">
        <v>287.41000000000003</v>
      </c>
      <c r="G147" s="1414">
        <v>402.37</v>
      </c>
      <c r="H147" s="1404"/>
      <c r="I147" s="1413">
        <v>139</v>
      </c>
      <c r="J147" s="1411">
        <v>292.47000000000003</v>
      </c>
      <c r="K147" s="1414">
        <v>409.45</v>
      </c>
      <c r="L147" s="253"/>
      <c r="M147" s="528">
        <v>139</v>
      </c>
      <c r="N147" s="526">
        <v>297.52999999999997</v>
      </c>
      <c r="O147" s="529">
        <v>416.54</v>
      </c>
      <c r="P147" s="253"/>
      <c r="Q147" s="528">
        <v>139</v>
      </c>
      <c r="R147" s="526">
        <v>302.58999999999997</v>
      </c>
      <c r="S147" s="529">
        <v>423.62</v>
      </c>
      <c r="T147" s="253"/>
      <c r="U147" s="528">
        <v>139</v>
      </c>
      <c r="V147" s="526">
        <v>307.64999999999998</v>
      </c>
      <c r="W147" s="529">
        <v>430.7</v>
      </c>
      <c r="X147" s="253"/>
      <c r="Y147" s="528">
        <v>139</v>
      </c>
      <c r="Z147" s="526">
        <v>312.70999999999998</v>
      </c>
      <c r="AA147" s="529">
        <v>437.79</v>
      </c>
      <c r="AB147" s="253"/>
      <c r="AC147" s="528">
        <v>139</v>
      </c>
      <c r="AD147" s="526">
        <v>317.76</v>
      </c>
      <c r="AE147" s="529">
        <v>444.87</v>
      </c>
      <c r="AF147" s="253"/>
      <c r="AG147" s="528">
        <v>139</v>
      </c>
      <c r="AH147" s="526">
        <v>322.82</v>
      </c>
      <c r="AI147" s="529">
        <v>451.95</v>
      </c>
      <c r="AJ147" s="253"/>
      <c r="AK147" s="528">
        <v>139</v>
      </c>
      <c r="AL147" s="526">
        <v>327.88</v>
      </c>
      <c r="AM147" s="529">
        <v>459.04</v>
      </c>
      <c r="AN147" s="253"/>
      <c r="AO147" s="528">
        <v>139</v>
      </c>
      <c r="AP147" s="526">
        <v>332.94</v>
      </c>
      <c r="AQ147" s="529">
        <v>466.12</v>
      </c>
      <c r="AR147" s="253"/>
      <c r="AS147" s="528">
        <v>139</v>
      </c>
      <c r="AT147" s="526">
        <v>338</v>
      </c>
      <c r="AU147" s="529">
        <v>473.2</v>
      </c>
      <c r="AV147" s="253"/>
      <c r="AW147" s="528">
        <v>139</v>
      </c>
      <c r="AX147" s="526">
        <v>343.06</v>
      </c>
      <c r="AY147" s="529">
        <v>480.29</v>
      </c>
      <c r="AZ147" s="253"/>
      <c r="BA147" s="528">
        <v>139</v>
      </c>
      <c r="BB147" s="526">
        <v>348.12</v>
      </c>
      <c r="BC147" s="529">
        <v>487.37</v>
      </c>
      <c r="BD147" s="253"/>
      <c r="BE147" s="528">
        <v>139</v>
      </c>
      <c r="BF147" s="526">
        <v>353.18</v>
      </c>
      <c r="BG147" s="529">
        <v>494.45</v>
      </c>
      <c r="BH147" s="253"/>
      <c r="BI147" s="528">
        <v>139</v>
      </c>
      <c r="BJ147" s="526">
        <v>358.24</v>
      </c>
      <c r="BK147" s="529">
        <v>501.54</v>
      </c>
      <c r="BL147" s="253"/>
    </row>
    <row r="148" spans="1:64" ht="23.25">
      <c r="A148" s="263">
        <v>140</v>
      </c>
      <c r="B148" s="1437">
        <f t="shared" si="4"/>
        <v>309.73</v>
      </c>
      <c r="C148" s="1438">
        <f t="shared" si="5"/>
        <v>433.63</v>
      </c>
      <c r="D148" s="253"/>
      <c r="E148" s="1413">
        <v>140</v>
      </c>
      <c r="F148" s="1411">
        <v>289.35000000000002</v>
      </c>
      <c r="G148" s="1414">
        <v>405.09</v>
      </c>
      <c r="H148" s="1404"/>
      <c r="I148" s="1413">
        <v>140</v>
      </c>
      <c r="J148" s="1411">
        <v>294.45</v>
      </c>
      <c r="K148" s="1414">
        <v>412.22</v>
      </c>
      <c r="L148" s="253"/>
      <c r="M148" s="528">
        <v>140</v>
      </c>
      <c r="N148" s="526">
        <v>299.54000000000002</v>
      </c>
      <c r="O148" s="529">
        <v>419.36</v>
      </c>
      <c r="P148" s="253"/>
      <c r="Q148" s="528">
        <v>140</v>
      </c>
      <c r="R148" s="526">
        <v>304.64</v>
      </c>
      <c r="S148" s="529">
        <v>426.49</v>
      </c>
      <c r="T148" s="253"/>
      <c r="U148" s="528">
        <v>140</v>
      </c>
      <c r="V148" s="526">
        <v>309.73</v>
      </c>
      <c r="W148" s="529">
        <v>433.63</v>
      </c>
      <c r="X148" s="253"/>
      <c r="Y148" s="528">
        <v>140</v>
      </c>
      <c r="Z148" s="526">
        <v>314.83</v>
      </c>
      <c r="AA148" s="529">
        <v>440.76</v>
      </c>
      <c r="AB148" s="253"/>
      <c r="AC148" s="528">
        <v>140</v>
      </c>
      <c r="AD148" s="526">
        <v>319.93</v>
      </c>
      <c r="AE148" s="529">
        <v>447.9</v>
      </c>
      <c r="AF148" s="253"/>
      <c r="AG148" s="528">
        <v>140</v>
      </c>
      <c r="AH148" s="526">
        <v>325.02</v>
      </c>
      <c r="AI148" s="529">
        <v>155.03</v>
      </c>
      <c r="AJ148" s="253"/>
      <c r="AK148" s="528">
        <v>140</v>
      </c>
      <c r="AL148" s="526">
        <v>330.12</v>
      </c>
      <c r="AM148" s="529">
        <v>462.17</v>
      </c>
      <c r="AN148" s="253"/>
      <c r="AO148" s="528">
        <v>140</v>
      </c>
      <c r="AP148" s="526">
        <v>335.21</v>
      </c>
      <c r="AQ148" s="529">
        <v>469.3</v>
      </c>
      <c r="AR148" s="253"/>
      <c r="AS148" s="528">
        <v>140</v>
      </c>
      <c r="AT148" s="526">
        <v>340.31</v>
      </c>
      <c r="AU148" s="529">
        <v>476.43</v>
      </c>
      <c r="AV148" s="253"/>
      <c r="AW148" s="528">
        <v>140</v>
      </c>
      <c r="AX148" s="526">
        <v>345.41</v>
      </c>
      <c r="AY148" s="529">
        <v>483.57</v>
      </c>
      <c r="AZ148" s="253"/>
      <c r="BA148" s="528">
        <v>140</v>
      </c>
      <c r="BB148" s="526">
        <v>350.5</v>
      </c>
      <c r="BC148" s="529">
        <v>490.7</v>
      </c>
      <c r="BD148" s="253"/>
      <c r="BE148" s="528">
        <v>140</v>
      </c>
      <c r="BF148" s="526">
        <v>355.6</v>
      </c>
      <c r="BG148" s="529">
        <v>497.84</v>
      </c>
      <c r="BH148" s="253"/>
      <c r="BI148" s="528">
        <v>140</v>
      </c>
      <c r="BJ148" s="526">
        <v>360.69</v>
      </c>
      <c r="BK148" s="529">
        <v>504.97</v>
      </c>
      <c r="BL148" s="253"/>
    </row>
    <row r="149" spans="1:64" ht="23.25">
      <c r="A149" s="263">
        <v>141</v>
      </c>
      <c r="B149" s="1437">
        <f t="shared" si="4"/>
        <v>311.83</v>
      </c>
      <c r="C149" s="1438">
        <f t="shared" si="5"/>
        <v>436.56</v>
      </c>
      <c r="D149" s="253"/>
      <c r="E149" s="1413">
        <v>141</v>
      </c>
      <c r="F149" s="1411">
        <v>291.3</v>
      </c>
      <c r="G149" s="1414">
        <v>407.82</v>
      </c>
      <c r="H149" s="1404"/>
      <c r="I149" s="1413">
        <v>141</v>
      </c>
      <c r="J149" s="1411">
        <v>296.43</v>
      </c>
      <c r="K149" s="1414">
        <v>415</v>
      </c>
      <c r="L149" s="253"/>
      <c r="M149" s="528">
        <v>141</v>
      </c>
      <c r="N149" s="526">
        <v>301.56</v>
      </c>
      <c r="O149" s="529">
        <v>422.19</v>
      </c>
      <c r="P149" s="253"/>
      <c r="Q149" s="528">
        <v>141</v>
      </c>
      <c r="R149" s="526">
        <v>306.69</v>
      </c>
      <c r="S149" s="529">
        <v>429.37</v>
      </c>
      <c r="T149" s="253"/>
      <c r="U149" s="528">
        <v>141</v>
      </c>
      <c r="V149" s="526">
        <v>311.83</v>
      </c>
      <c r="W149" s="529">
        <v>436.56</v>
      </c>
      <c r="X149" s="253"/>
      <c r="Y149" s="528">
        <v>141</v>
      </c>
      <c r="Z149" s="526">
        <v>316.95999999999998</v>
      </c>
      <c r="AA149" s="529">
        <v>443.74</v>
      </c>
      <c r="AB149" s="253"/>
      <c r="AC149" s="528">
        <v>141</v>
      </c>
      <c r="AD149" s="526">
        <v>322.08999999999997</v>
      </c>
      <c r="AE149" s="529">
        <v>450.93</v>
      </c>
      <c r="AF149" s="253"/>
      <c r="AG149" s="528">
        <v>141</v>
      </c>
      <c r="AH149" s="526">
        <v>327.22000000000003</v>
      </c>
      <c r="AI149" s="529">
        <v>458.11</v>
      </c>
      <c r="AJ149" s="253"/>
      <c r="AK149" s="528">
        <v>141</v>
      </c>
      <c r="AL149" s="526">
        <v>332.36</v>
      </c>
      <c r="AM149" s="529">
        <v>456.3</v>
      </c>
      <c r="AN149" s="253"/>
      <c r="AO149" s="528">
        <v>141</v>
      </c>
      <c r="AP149" s="526">
        <v>337.49</v>
      </c>
      <c r="AQ149" s="529">
        <v>472.48</v>
      </c>
      <c r="AR149" s="253"/>
      <c r="AS149" s="528">
        <v>141</v>
      </c>
      <c r="AT149" s="526">
        <v>342.62</v>
      </c>
      <c r="AU149" s="529">
        <v>479.67</v>
      </c>
      <c r="AV149" s="253"/>
      <c r="AW149" s="528">
        <v>141</v>
      </c>
      <c r="AX149" s="526">
        <v>347.75</v>
      </c>
      <c r="AY149" s="529">
        <v>486.85</v>
      </c>
      <c r="AZ149" s="253"/>
      <c r="BA149" s="528">
        <v>141</v>
      </c>
      <c r="BB149" s="526">
        <v>352.89</v>
      </c>
      <c r="BC149" s="529">
        <v>494.04</v>
      </c>
      <c r="BD149" s="253"/>
      <c r="BE149" s="528">
        <v>141</v>
      </c>
      <c r="BF149" s="526">
        <v>358.02</v>
      </c>
      <c r="BG149" s="529">
        <v>501.23</v>
      </c>
      <c r="BH149" s="253"/>
      <c r="BI149" s="528">
        <v>141</v>
      </c>
      <c r="BJ149" s="526">
        <v>363.15</v>
      </c>
      <c r="BK149" s="529">
        <v>508.41</v>
      </c>
      <c r="BL149" s="253"/>
    </row>
    <row r="150" spans="1:64" ht="23.25">
      <c r="A150" s="263">
        <v>142</v>
      </c>
      <c r="B150" s="1437">
        <f t="shared" si="4"/>
        <v>314.26</v>
      </c>
      <c r="C150" s="1438">
        <f t="shared" si="5"/>
        <v>439.96</v>
      </c>
      <c r="D150" s="253"/>
      <c r="E150" s="1413">
        <v>142</v>
      </c>
      <c r="F150" s="1411">
        <v>293.58</v>
      </c>
      <c r="G150" s="1414">
        <v>411.02</v>
      </c>
      <c r="H150" s="1404"/>
      <c r="I150" s="1413">
        <v>142</v>
      </c>
      <c r="J150" s="1411">
        <v>298.75</v>
      </c>
      <c r="K150" s="1414">
        <v>418.25</v>
      </c>
      <c r="L150" s="253"/>
      <c r="M150" s="528">
        <v>142</v>
      </c>
      <c r="N150" s="526">
        <v>303.92</v>
      </c>
      <c r="O150" s="529">
        <v>425.49</v>
      </c>
      <c r="P150" s="253"/>
      <c r="Q150" s="528">
        <v>142</v>
      </c>
      <c r="R150" s="526">
        <v>309.08999999999997</v>
      </c>
      <c r="S150" s="529">
        <v>432.73</v>
      </c>
      <c r="T150" s="253"/>
      <c r="U150" s="528">
        <v>142</v>
      </c>
      <c r="V150" s="526">
        <v>314.26</v>
      </c>
      <c r="W150" s="529">
        <v>439.96</v>
      </c>
      <c r="X150" s="253"/>
      <c r="Y150" s="528">
        <v>142</v>
      </c>
      <c r="Z150" s="526">
        <v>319.43</v>
      </c>
      <c r="AA150" s="529">
        <v>447.2</v>
      </c>
      <c r="AB150" s="253"/>
      <c r="AC150" s="528">
        <v>142</v>
      </c>
      <c r="AD150" s="526">
        <v>324.60000000000002</v>
      </c>
      <c r="AE150" s="529">
        <v>454.44</v>
      </c>
      <c r="AF150" s="253"/>
      <c r="AG150" s="528">
        <v>142</v>
      </c>
      <c r="AH150" s="526">
        <v>329.77</v>
      </c>
      <c r="AI150" s="529">
        <v>461.67</v>
      </c>
      <c r="AJ150" s="253"/>
      <c r="AK150" s="528">
        <v>142</v>
      </c>
      <c r="AL150" s="526">
        <v>334.93</v>
      </c>
      <c r="AM150" s="529">
        <v>468.91</v>
      </c>
      <c r="AN150" s="253"/>
      <c r="AO150" s="528">
        <v>142</v>
      </c>
      <c r="AP150" s="526">
        <v>340.1</v>
      </c>
      <c r="AQ150" s="529">
        <v>476.14</v>
      </c>
      <c r="AR150" s="253"/>
      <c r="AS150" s="528">
        <v>142</v>
      </c>
      <c r="AT150" s="526">
        <v>345.27</v>
      </c>
      <c r="AU150" s="529">
        <v>483.38</v>
      </c>
      <c r="AV150" s="253"/>
      <c r="AW150" s="528">
        <v>142</v>
      </c>
      <c r="AX150" s="526">
        <v>350.44</v>
      </c>
      <c r="AY150" s="529">
        <v>490.62</v>
      </c>
      <c r="AZ150" s="253"/>
      <c r="BA150" s="528">
        <v>142</v>
      </c>
      <c r="BB150" s="526">
        <v>355.61</v>
      </c>
      <c r="BC150" s="529">
        <v>497.85</v>
      </c>
      <c r="BD150" s="253"/>
      <c r="BE150" s="528">
        <v>142</v>
      </c>
      <c r="BF150" s="526">
        <v>360.78</v>
      </c>
      <c r="BG150" s="529">
        <v>505.09</v>
      </c>
      <c r="BH150" s="253"/>
      <c r="BI150" s="528">
        <v>142</v>
      </c>
      <c r="BJ150" s="526">
        <v>365.95</v>
      </c>
      <c r="BK150" s="529">
        <v>512.33000000000004</v>
      </c>
      <c r="BL150" s="253"/>
    </row>
    <row r="151" spans="1:64" ht="23.25">
      <c r="A151" s="263">
        <v>143</v>
      </c>
      <c r="B151" s="1437">
        <f t="shared" si="4"/>
        <v>316.36</v>
      </c>
      <c r="C151" s="1438">
        <f t="shared" si="5"/>
        <v>442.91</v>
      </c>
      <c r="D151" s="253"/>
      <c r="E151" s="1413">
        <v>143</v>
      </c>
      <c r="F151" s="1411">
        <v>295.54000000000002</v>
      </c>
      <c r="G151" s="1414">
        <v>413.76</v>
      </c>
      <c r="H151" s="1404"/>
      <c r="I151" s="1413">
        <v>143</v>
      </c>
      <c r="J151" s="1411">
        <v>300.75</v>
      </c>
      <c r="K151" s="1414">
        <v>421.04</v>
      </c>
      <c r="L151" s="253"/>
      <c r="M151" s="528">
        <v>143</v>
      </c>
      <c r="N151" s="526">
        <v>305.95</v>
      </c>
      <c r="O151" s="529">
        <v>425.33</v>
      </c>
      <c r="P151" s="253"/>
      <c r="Q151" s="528">
        <v>143</v>
      </c>
      <c r="R151" s="526">
        <v>311.16000000000003</v>
      </c>
      <c r="S151" s="529">
        <v>435.62</v>
      </c>
      <c r="T151" s="253"/>
      <c r="U151" s="528">
        <v>143</v>
      </c>
      <c r="V151" s="526">
        <v>316.36</v>
      </c>
      <c r="W151" s="529">
        <v>442.91</v>
      </c>
      <c r="X151" s="253"/>
      <c r="Y151" s="528">
        <v>143</v>
      </c>
      <c r="Z151" s="526">
        <v>321.57</v>
      </c>
      <c r="AA151" s="529">
        <v>450.19</v>
      </c>
      <c r="AB151" s="253"/>
      <c r="AC151" s="528">
        <v>143</v>
      </c>
      <c r="AD151" s="526">
        <v>326.77</v>
      </c>
      <c r="AE151" s="529">
        <v>457.48</v>
      </c>
      <c r="AF151" s="253"/>
      <c r="AG151" s="528">
        <v>143</v>
      </c>
      <c r="AH151" s="526">
        <v>331.98</v>
      </c>
      <c r="AI151" s="529">
        <v>464.77</v>
      </c>
      <c r="AJ151" s="253"/>
      <c r="AK151" s="528">
        <v>143</v>
      </c>
      <c r="AL151" s="526">
        <v>337.18</v>
      </c>
      <c r="AM151" s="529">
        <v>472.06</v>
      </c>
      <c r="AN151" s="253"/>
      <c r="AO151" s="528">
        <v>143</v>
      </c>
      <c r="AP151" s="526">
        <v>342.39</v>
      </c>
      <c r="AQ151" s="529">
        <v>479.34</v>
      </c>
      <c r="AR151" s="253"/>
      <c r="AS151" s="528">
        <v>143</v>
      </c>
      <c r="AT151" s="526">
        <v>347.59</v>
      </c>
      <c r="AU151" s="529">
        <v>486.63</v>
      </c>
      <c r="AV151" s="253"/>
      <c r="AW151" s="528">
        <v>143</v>
      </c>
      <c r="AX151" s="526">
        <v>352.8</v>
      </c>
      <c r="AY151" s="529">
        <v>493.92</v>
      </c>
      <c r="AZ151" s="253"/>
      <c r="BA151" s="528">
        <v>143</v>
      </c>
      <c r="BB151" s="526">
        <v>358</v>
      </c>
      <c r="BC151" s="529">
        <v>501.21</v>
      </c>
      <c r="BD151" s="253"/>
      <c r="BE151" s="528">
        <v>143</v>
      </c>
      <c r="BF151" s="526">
        <v>363.21</v>
      </c>
      <c r="BG151" s="529">
        <v>508.49</v>
      </c>
      <c r="BH151" s="253"/>
      <c r="BI151" s="528">
        <v>143</v>
      </c>
      <c r="BJ151" s="526">
        <v>368.41</v>
      </c>
      <c r="BK151" s="529">
        <v>515.78</v>
      </c>
      <c r="BL151" s="253"/>
    </row>
    <row r="152" spans="1:64" ht="23.25">
      <c r="A152" s="263">
        <v>144</v>
      </c>
      <c r="B152" s="1437">
        <f t="shared" si="4"/>
        <v>318.47000000000003</v>
      </c>
      <c r="C152" s="1438">
        <f t="shared" si="5"/>
        <v>445.86</v>
      </c>
      <c r="D152" s="253"/>
      <c r="E152" s="1413">
        <v>144</v>
      </c>
      <c r="F152" s="1411">
        <v>297.5</v>
      </c>
      <c r="G152" s="1414">
        <v>416.5</v>
      </c>
      <c r="H152" s="1404"/>
      <c r="I152" s="1413">
        <v>144</v>
      </c>
      <c r="J152" s="1411">
        <v>302.74</v>
      </c>
      <c r="K152" s="1414">
        <v>423.84</v>
      </c>
      <c r="L152" s="253"/>
      <c r="M152" s="528">
        <v>144</v>
      </c>
      <c r="N152" s="526">
        <v>307.99</v>
      </c>
      <c r="O152" s="529">
        <v>431.18</v>
      </c>
      <c r="P152" s="253"/>
      <c r="Q152" s="528">
        <v>144</v>
      </c>
      <c r="R152" s="526">
        <v>313.23</v>
      </c>
      <c r="S152" s="529">
        <v>439.52</v>
      </c>
      <c r="T152" s="253"/>
      <c r="U152" s="528">
        <v>144</v>
      </c>
      <c r="V152" s="526">
        <v>318.47000000000003</v>
      </c>
      <c r="W152" s="529">
        <v>445.86</v>
      </c>
      <c r="X152" s="253"/>
      <c r="Y152" s="528">
        <v>144</v>
      </c>
      <c r="Z152" s="526">
        <v>323.70999999999998</v>
      </c>
      <c r="AA152" s="529">
        <v>453.19</v>
      </c>
      <c r="AB152" s="253"/>
      <c r="AC152" s="528">
        <v>144</v>
      </c>
      <c r="AD152" s="526">
        <v>328.95</v>
      </c>
      <c r="AE152" s="529">
        <v>460.53</v>
      </c>
      <c r="AF152" s="253"/>
      <c r="AG152" s="528">
        <v>144</v>
      </c>
      <c r="AH152" s="526">
        <v>334.19</v>
      </c>
      <c r="AI152" s="529">
        <v>467.47</v>
      </c>
      <c r="AJ152" s="253"/>
      <c r="AK152" s="528">
        <v>144</v>
      </c>
      <c r="AL152" s="526">
        <v>339.43</v>
      </c>
      <c r="AM152" s="529">
        <v>475.21</v>
      </c>
      <c r="AN152" s="253"/>
      <c r="AO152" s="528">
        <v>144</v>
      </c>
      <c r="AP152" s="526">
        <v>344.68</v>
      </c>
      <c r="AQ152" s="529">
        <v>482.55</v>
      </c>
      <c r="AR152" s="253"/>
      <c r="AS152" s="528">
        <v>144</v>
      </c>
      <c r="AT152" s="526">
        <v>349.92</v>
      </c>
      <c r="AU152" s="529">
        <v>489.89</v>
      </c>
      <c r="AV152" s="253"/>
      <c r="AW152" s="528">
        <v>144</v>
      </c>
      <c r="AX152" s="526">
        <v>355.16</v>
      </c>
      <c r="AY152" s="529">
        <v>497.22</v>
      </c>
      <c r="AZ152" s="253"/>
      <c r="BA152" s="528">
        <v>144</v>
      </c>
      <c r="BB152" s="526">
        <v>360.4</v>
      </c>
      <c r="BC152" s="529">
        <v>504.56</v>
      </c>
      <c r="BD152" s="253"/>
      <c r="BE152" s="528">
        <v>144</v>
      </c>
      <c r="BF152" s="526">
        <v>365.64</v>
      </c>
      <c r="BG152" s="529">
        <v>511.9</v>
      </c>
      <c r="BH152" s="253"/>
      <c r="BI152" s="528">
        <v>144</v>
      </c>
      <c r="BJ152" s="526">
        <v>370.88</v>
      </c>
      <c r="BK152" s="529">
        <v>519.24</v>
      </c>
      <c r="BL152" s="253"/>
    </row>
    <row r="153" spans="1:64" ht="23.25">
      <c r="A153" s="263">
        <v>145</v>
      </c>
      <c r="B153" s="1437">
        <f t="shared" si="4"/>
        <v>320.93</v>
      </c>
      <c r="C153" s="1438">
        <f t="shared" si="5"/>
        <v>449.3</v>
      </c>
      <c r="D153" s="253"/>
      <c r="E153" s="1413">
        <v>145</v>
      </c>
      <c r="F153" s="1411">
        <v>299.82</v>
      </c>
      <c r="G153" s="1414">
        <v>419.75</v>
      </c>
      <c r="H153" s="1404"/>
      <c r="I153" s="1413">
        <v>145</v>
      </c>
      <c r="J153" s="1411">
        <v>305.10000000000002</v>
      </c>
      <c r="K153" s="1414">
        <v>427.13</v>
      </c>
      <c r="L153" s="253"/>
      <c r="M153" s="528">
        <v>145</v>
      </c>
      <c r="N153" s="526">
        <v>310.37</v>
      </c>
      <c r="O153" s="529">
        <v>434.52</v>
      </c>
      <c r="P153" s="253"/>
      <c r="Q153" s="528">
        <v>145</v>
      </c>
      <c r="R153" s="526">
        <v>315.64999999999998</v>
      </c>
      <c r="S153" s="529">
        <v>441.91</v>
      </c>
      <c r="T153" s="253"/>
      <c r="U153" s="528">
        <v>145</v>
      </c>
      <c r="V153" s="526">
        <v>320.93</v>
      </c>
      <c r="W153" s="529">
        <v>449.3</v>
      </c>
      <c r="X153" s="253"/>
      <c r="Y153" s="528">
        <v>145</v>
      </c>
      <c r="Z153" s="526">
        <v>326.20999999999998</v>
      </c>
      <c r="AA153" s="529">
        <v>456.69</v>
      </c>
      <c r="AB153" s="253"/>
      <c r="AC153" s="528">
        <v>145</v>
      </c>
      <c r="AD153" s="526">
        <v>331.49</v>
      </c>
      <c r="AE153" s="529">
        <v>464.08</v>
      </c>
      <c r="AF153" s="253"/>
      <c r="AG153" s="528">
        <v>145</v>
      </c>
      <c r="AH153" s="526">
        <v>336.76</v>
      </c>
      <c r="AI153" s="529">
        <v>471.47</v>
      </c>
      <c r="AJ153" s="253"/>
      <c r="AK153" s="528">
        <v>145</v>
      </c>
      <c r="AL153" s="526">
        <v>342.04</v>
      </c>
      <c r="AM153" s="529">
        <v>478.86</v>
      </c>
      <c r="AN153" s="253"/>
      <c r="AO153" s="528">
        <v>145</v>
      </c>
      <c r="AP153" s="526">
        <v>347.32</v>
      </c>
      <c r="AQ153" s="529">
        <v>486.25</v>
      </c>
      <c r="AR153" s="253"/>
      <c r="AS153" s="528">
        <v>145</v>
      </c>
      <c r="AT153" s="526">
        <v>352.6</v>
      </c>
      <c r="AU153" s="529">
        <v>493.64</v>
      </c>
      <c r="AV153" s="253"/>
      <c r="AW153" s="528">
        <v>145</v>
      </c>
      <c r="AX153" s="526">
        <v>357.88</v>
      </c>
      <c r="AY153" s="529">
        <v>501.03</v>
      </c>
      <c r="AZ153" s="253"/>
      <c r="BA153" s="528">
        <v>145</v>
      </c>
      <c r="BB153" s="526">
        <v>363.15</v>
      </c>
      <c r="BC153" s="529">
        <v>508.42</v>
      </c>
      <c r="BD153" s="253"/>
      <c r="BE153" s="528">
        <v>145</v>
      </c>
      <c r="BF153" s="526">
        <v>368.43</v>
      </c>
      <c r="BG153" s="529">
        <v>515.80999999999995</v>
      </c>
      <c r="BH153" s="253"/>
      <c r="BI153" s="528">
        <v>145</v>
      </c>
      <c r="BJ153" s="526">
        <v>373.71</v>
      </c>
      <c r="BK153" s="529">
        <v>523.19000000000005</v>
      </c>
      <c r="BL153" s="253"/>
    </row>
    <row r="154" spans="1:64" ht="23.25">
      <c r="A154" s="263">
        <v>146</v>
      </c>
      <c r="B154" s="1437">
        <f t="shared" si="4"/>
        <v>323.05</v>
      </c>
      <c r="C154" s="1438">
        <f t="shared" si="5"/>
        <v>452.27</v>
      </c>
      <c r="D154" s="253"/>
      <c r="E154" s="1413">
        <v>146</v>
      </c>
      <c r="F154" s="1411">
        <v>301.79000000000002</v>
      </c>
      <c r="G154" s="1414">
        <v>422.51</v>
      </c>
      <c r="H154" s="1404"/>
      <c r="I154" s="1413">
        <v>146</v>
      </c>
      <c r="J154" s="1411">
        <v>307.10000000000002</v>
      </c>
      <c r="K154" s="1414">
        <v>429.95</v>
      </c>
      <c r="L154" s="253"/>
      <c r="M154" s="528">
        <v>146</v>
      </c>
      <c r="N154" s="526">
        <v>312.42</v>
      </c>
      <c r="O154" s="529">
        <v>437.39</v>
      </c>
      <c r="P154" s="253"/>
      <c r="Q154" s="528">
        <v>146</v>
      </c>
      <c r="R154" s="526">
        <v>317.73</v>
      </c>
      <c r="S154" s="529">
        <v>44.83</v>
      </c>
      <c r="T154" s="253"/>
      <c r="U154" s="528">
        <v>146</v>
      </c>
      <c r="V154" s="526">
        <v>323.05</v>
      </c>
      <c r="W154" s="529">
        <v>452.27</v>
      </c>
      <c r="X154" s="253"/>
      <c r="Y154" s="528">
        <v>146</v>
      </c>
      <c r="Z154" s="526">
        <v>328.36</v>
      </c>
      <c r="AA154" s="529">
        <v>459.71</v>
      </c>
      <c r="AB154" s="253"/>
      <c r="AC154" s="528">
        <v>146</v>
      </c>
      <c r="AD154" s="526">
        <v>333.68</v>
      </c>
      <c r="AE154" s="529">
        <v>467.15</v>
      </c>
      <c r="AF154" s="253"/>
      <c r="AG154" s="528">
        <v>146</v>
      </c>
      <c r="AH154" s="526">
        <v>338.99</v>
      </c>
      <c r="AI154" s="529">
        <v>474.59</v>
      </c>
      <c r="AJ154" s="253"/>
      <c r="AK154" s="528">
        <v>146</v>
      </c>
      <c r="AL154" s="526">
        <v>344.31</v>
      </c>
      <c r="AM154" s="529">
        <v>482.03</v>
      </c>
      <c r="AN154" s="253"/>
      <c r="AO154" s="528">
        <v>146</v>
      </c>
      <c r="AP154" s="526">
        <v>349.62</v>
      </c>
      <c r="AQ154" s="529">
        <v>489.47</v>
      </c>
      <c r="AR154" s="253"/>
      <c r="AS154" s="528">
        <v>146</v>
      </c>
      <c r="AT154" s="526">
        <v>354.93</v>
      </c>
      <c r="AU154" s="529">
        <v>496.91</v>
      </c>
      <c r="AV154" s="253"/>
      <c r="AW154" s="528">
        <v>146</v>
      </c>
      <c r="AX154" s="526">
        <v>360.25</v>
      </c>
      <c r="AY154" s="529">
        <v>504.35</v>
      </c>
      <c r="AZ154" s="253"/>
      <c r="BA154" s="528">
        <v>146</v>
      </c>
      <c r="BB154" s="526">
        <v>365.56</v>
      </c>
      <c r="BC154" s="529">
        <v>511.79</v>
      </c>
      <c r="BD154" s="253"/>
      <c r="BE154" s="528">
        <v>146</v>
      </c>
      <c r="BF154" s="526">
        <v>370.88</v>
      </c>
      <c r="BG154" s="529">
        <v>519.23</v>
      </c>
      <c r="BH154" s="253"/>
      <c r="BI154" s="528">
        <v>146</v>
      </c>
      <c r="BJ154" s="526">
        <v>376.19</v>
      </c>
      <c r="BK154" s="529">
        <v>527.66999999999996</v>
      </c>
      <c r="BL154" s="253"/>
    </row>
    <row r="155" spans="1:64" ht="23.25">
      <c r="A155" s="264">
        <v>147</v>
      </c>
      <c r="B155" s="1437">
        <f t="shared" si="4"/>
        <v>325.17</v>
      </c>
      <c r="C155" s="1438">
        <f t="shared" si="5"/>
        <v>455.24</v>
      </c>
      <c r="D155" s="253"/>
      <c r="E155" s="1415">
        <v>147</v>
      </c>
      <c r="F155" s="1423">
        <v>303.77</v>
      </c>
      <c r="G155" s="1417">
        <v>425.27</v>
      </c>
      <c r="H155" s="1404"/>
      <c r="I155" s="1415">
        <v>147</v>
      </c>
      <c r="J155" s="1423">
        <v>309.12</v>
      </c>
      <c r="K155" s="1417">
        <v>432.76</v>
      </c>
      <c r="L155" s="253"/>
      <c r="M155" s="530">
        <v>147</v>
      </c>
      <c r="N155" s="538">
        <v>314.47000000000003</v>
      </c>
      <c r="O155" s="532">
        <v>440.25</v>
      </c>
      <c r="P155" s="253"/>
      <c r="Q155" s="530">
        <v>147</v>
      </c>
      <c r="R155" s="538">
        <v>319.82</v>
      </c>
      <c r="S155" s="532">
        <v>447.75</v>
      </c>
      <c r="T155" s="253"/>
      <c r="U155" s="530">
        <v>147</v>
      </c>
      <c r="V155" s="538">
        <v>325.17</v>
      </c>
      <c r="W155" s="532">
        <v>455.24</v>
      </c>
      <c r="X155" s="253"/>
      <c r="Y155" s="530">
        <v>147</v>
      </c>
      <c r="Z155" s="538">
        <v>330.52</v>
      </c>
      <c r="AA155" s="532">
        <v>462.73</v>
      </c>
      <c r="AB155" s="253"/>
      <c r="AC155" s="530">
        <v>147</v>
      </c>
      <c r="AD155" s="538">
        <v>335.87</v>
      </c>
      <c r="AE155" s="532">
        <v>470.22</v>
      </c>
      <c r="AF155" s="253"/>
      <c r="AG155" s="530">
        <v>147</v>
      </c>
      <c r="AH155" s="538">
        <v>341.22</v>
      </c>
      <c r="AI155" s="532">
        <v>477.71</v>
      </c>
      <c r="AJ155" s="253"/>
      <c r="AK155" s="530">
        <v>147</v>
      </c>
      <c r="AL155" s="538">
        <v>346.57</v>
      </c>
      <c r="AM155" s="532">
        <v>485.2</v>
      </c>
      <c r="AN155" s="253"/>
      <c r="AO155" s="530">
        <v>147</v>
      </c>
      <c r="AP155" s="538">
        <v>351.92</v>
      </c>
      <c r="AQ155" s="532">
        <v>492.69</v>
      </c>
      <c r="AR155" s="253"/>
      <c r="AS155" s="530">
        <v>147</v>
      </c>
      <c r="AT155" s="538">
        <v>357.27</v>
      </c>
      <c r="AU155" s="532">
        <v>500.18</v>
      </c>
      <c r="AV155" s="253"/>
      <c r="AW155" s="530">
        <v>147</v>
      </c>
      <c r="AX155" s="538">
        <v>362.63</v>
      </c>
      <c r="AY155" s="532">
        <v>507.68</v>
      </c>
      <c r="AZ155" s="253"/>
      <c r="BA155" s="530">
        <v>147</v>
      </c>
      <c r="BB155" s="538">
        <v>367.98</v>
      </c>
      <c r="BC155" s="532">
        <v>515.16999999999996</v>
      </c>
      <c r="BD155" s="253"/>
      <c r="BE155" s="530">
        <v>147</v>
      </c>
      <c r="BF155" s="538">
        <v>373.33</v>
      </c>
      <c r="BG155" s="532">
        <v>522.66</v>
      </c>
      <c r="BH155" s="253"/>
      <c r="BI155" s="530">
        <v>147</v>
      </c>
      <c r="BJ155" s="538">
        <v>378.19</v>
      </c>
      <c r="BK155" s="532">
        <v>530.15</v>
      </c>
      <c r="BL155" s="253"/>
    </row>
    <row r="156" spans="1:64" ht="23.25">
      <c r="A156" s="261">
        <v>148</v>
      </c>
      <c r="B156" s="1437">
        <f t="shared" si="4"/>
        <v>327.29000000000002</v>
      </c>
      <c r="C156" s="1438">
        <f t="shared" si="5"/>
        <v>458.21</v>
      </c>
      <c r="D156" s="253"/>
      <c r="E156" s="1418">
        <v>148</v>
      </c>
      <c r="F156" s="1419">
        <v>305.75</v>
      </c>
      <c r="G156" s="1412">
        <v>428.04</v>
      </c>
      <c r="H156" s="1404"/>
      <c r="I156" s="1418">
        <v>148</v>
      </c>
      <c r="J156" s="1419">
        <v>311.13</v>
      </c>
      <c r="K156" s="1412">
        <v>435.59</v>
      </c>
      <c r="L156" s="253"/>
      <c r="M156" s="533">
        <v>148</v>
      </c>
      <c r="N156" s="534">
        <v>316.52</v>
      </c>
      <c r="O156" s="527">
        <v>443.13</v>
      </c>
      <c r="P156" s="253"/>
      <c r="Q156" s="533">
        <v>148</v>
      </c>
      <c r="R156" s="534">
        <v>321.91000000000003</v>
      </c>
      <c r="S156" s="527">
        <v>450.67</v>
      </c>
      <c r="T156" s="253"/>
      <c r="U156" s="533">
        <v>148</v>
      </c>
      <c r="V156" s="534">
        <v>327.29000000000002</v>
      </c>
      <c r="W156" s="527">
        <v>458.21</v>
      </c>
      <c r="X156" s="253"/>
      <c r="Y156" s="533">
        <v>148</v>
      </c>
      <c r="Z156" s="534">
        <v>332.68</v>
      </c>
      <c r="AA156" s="527">
        <v>465.75</v>
      </c>
      <c r="AB156" s="253"/>
      <c r="AC156" s="533">
        <v>148</v>
      </c>
      <c r="AD156" s="534">
        <v>338.07</v>
      </c>
      <c r="AE156" s="527">
        <v>473.3</v>
      </c>
      <c r="AF156" s="253"/>
      <c r="AG156" s="533">
        <v>148</v>
      </c>
      <c r="AH156" s="534">
        <v>343.46</v>
      </c>
      <c r="AI156" s="527">
        <v>480.84</v>
      </c>
      <c r="AJ156" s="253"/>
      <c r="AK156" s="533">
        <v>148</v>
      </c>
      <c r="AL156" s="534">
        <v>348.84</v>
      </c>
      <c r="AM156" s="527">
        <v>488.38</v>
      </c>
      <c r="AN156" s="253"/>
      <c r="AO156" s="533">
        <v>148</v>
      </c>
      <c r="AP156" s="534">
        <v>354.23</v>
      </c>
      <c r="AQ156" s="527">
        <v>495.92</v>
      </c>
      <c r="AR156" s="253"/>
      <c r="AS156" s="533">
        <v>148</v>
      </c>
      <c r="AT156" s="534">
        <v>359.62</v>
      </c>
      <c r="AU156" s="527">
        <v>503.47</v>
      </c>
      <c r="AV156" s="253"/>
      <c r="AW156" s="533">
        <v>148</v>
      </c>
      <c r="AX156" s="534">
        <v>365.01</v>
      </c>
      <c r="AY156" s="527">
        <v>511.01</v>
      </c>
      <c r="AZ156" s="253"/>
      <c r="BA156" s="533">
        <v>148</v>
      </c>
      <c r="BB156" s="534">
        <v>370.39</v>
      </c>
      <c r="BC156" s="527">
        <v>518.54999999999995</v>
      </c>
      <c r="BD156" s="253"/>
      <c r="BE156" s="533">
        <v>148</v>
      </c>
      <c r="BF156" s="534">
        <v>375.78</v>
      </c>
      <c r="BG156" s="527">
        <v>526.09</v>
      </c>
      <c r="BH156" s="253"/>
      <c r="BI156" s="533">
        <v>148</v>
      </c>
      <c r="BJ156" s="534">
        <v>381.17</v>
      </c>
      <c r="BK156" s="527">
        <v>533.63</v>
      </c>
      <c r="BL156" s="253"/>
    </row>
    <row r="157" spans="1:64" ht="23.25">
      <c r="A157" s="263">
        <v>149</v>
      </c>
      <c r="B157" s="1437">
        <f t="shared" si="4"/>
        <v>329.42</v>
      </c>
      <c r="C157" s="1438">
        <f t="shared" si="5"/>
        <v>461.19</v>
      </c>
      <c r="D157" s="253"/>
      <c r="E157" s="1420">
        <v>149</v>
      </c>
      <c r="F157" s="1421">
        <v>307.73</v>
      </c>
      <c r="G157" s="1414">
        <v>430.82</v>
      </c>
      <c r="H157" s="1404"/>
      <c r="I157" s="1420">
        <v>149</v>
      </c>
      <c r="J157" s="1421">
        <v>313.14999999999998</v>
      </c>
      <c r="K157" s="1414">
        <v>438.42</v>
      </c>
      <c r="L157" s="253"/>
      <c r="M157" s="535">
        <v>149</v>
      </c>
      <c r="N157" s="536">
        <v>318.58</v>
      </c>
      <c r="O157" s="529">
        <v>446.01</v>
      </c>
      <c r="P157" s="253"/>
      <c r="Q157" s="535">
        <v>149</v>
      </c>
      <c r="R157" s="536">
        <v>324</v>
      </c>
      <c r="S157" s="529">
        <v>453.6</v>
      </c>
      <c r="T157" s="253"/>
      <c r="U157" s="535">
        <v>149</v>
      </c>
      <c r="V157" s="536">
        <v>329.42</v>
      </c>
      <c r="W157" s="529">
        <v>461.19</v>
      </c>
      <c r="X157" s="253"/>
      <c r="Y157" s="535">
        <v>149</v>
      </c>
      <c r="Z157" s="536">
        <v>334.85</v>
      </c>
      <c r="AA157" s="529">
        <v>468.79</v>
      </c>
      <c r="AB157" s="253"/>
      <c r="AC157" s="535">
        <v>149</v>
      </c>
      <c r="AD157" s="536">
        <v>340.27</v>
      </c>
      <c r="AE157" s="529">
        <v>476.38</v>
      </c>
      <c r="AF157" s="253"/>
      <c r="AG157" s="535">
        <v>149</v>
      </c>
      <c r="AH157" s="536">
        <v>345.7</v>
      </c>
      <c r="AI157" s="529">
        <v>483.97</v>
      </c>
      <c r="AJ157" s="253"/>
      <c r="AK157" s="535">
        <v>149</v>
      </c>
      <c r="AL157" s="536">
        <v>351.12</v>
      </c>
      <c r="AM157" s="529">
        <v>491.12</v>
      </c>
      <c r="AN157" s="253"/>
      <c r="AO157" s="535">
        <v>149</v>
      </c>
      <c r="AP157" s="536">
        <v>356.54</v>
      </c>
      <c r="AQ157" s="529">
        <v>499.16</v>
      </c>
      <c r="AR157" s="253"/>
      <c r="AS157" s="535">
        <v>149</v>
      </c>
      <c r="AT157" s="536">
        <v>361.97</v>
      </c>
      <c r="AU157" s="529">
        <v>506.75</v>
      </c>
      <c r="AV157" s="253"/>
      <c r="AW157" s="535">
        <v>149</v>
      </c>
      <c r="AX157" s="536">
        <v>367.39</v>
      </c>
      <c r="AY157" s="529">
        <v>514.35</v>
      </c>
      <c r="AZ157" s="253"/>
      <c r="BA157" s="535">
        <v>149</v>
      </c>
      <c r="BB157" s="536">
        <v>372.81</v>
      </c>
      <c r="BC157" s="529">
        <v>521.94000000000005</v>
      </c>
      <c r="BD157" s="253"/>
      <c r="BE157" s="535">
        <v>149</v>
      </c>
      <c r="BF157" s="536">
        <v>378.24</v>
      </c>
      <c r="BG157" s="529">
        <v>529.53</v>
      </c>
      <c r="BH157" s="253"/>
      <c r="BI157" s="535">
        <v>149</v>
      </c>
      <c r="BJ157" s="536">
        <v>383.66</v>
      </c>
      <c r="BK157" s="529">
        <v>537.12</v>
      </c>
      <c r="BL157" s="253"/>
    </row>
    <row r="158" spans="1:64" ht="23.25">
      <c r="A158" s="263">
        <v>150</v>
      </c>
      <c r="B158" s="1437">
        <f t="shared" si="4"/>
        <v>331.93</v>
      </c>
      <c r="C158" s="1438">
        <f t="shared" si="5"/>
        <v>464.71</v>
      </c>
      <c r="D158" s="253"/>
      <c r="E158" s="1420">
        <v>150</v>
      </c>
      <c r="F158" s="1421">
        <v>310.08999999999997</v>
      </c>
      <c r="G158" s="1414">
        <v>434.13</v>
      </c>
      <c r="H158" s="1404"/>
      <c r="I158" s="1420">
        <v>150</v>
      </c>
      <c r="J158" s="1421">
        <v>315.55</v>
      </c>
      <c r="K158" s="1414">
        <v>441.78</v>
      </c>
      <c r="L158" s="253"/>
      <c r="M158" s="535">
        <v>150</v>
      </c>
      <c r="N158" s="536">
        <v>321.01</v>
      </c>
      <c r="O158" s="529">
        <v>449.42</v>
      </c>
      <c r="P158" s="253"/>
      <c r="Q158" s="535">
        <v>150</v>
      </c>
      <c r="R158" s="536">
        <v>326.47000000000003</v>
      </c>
      <c r="S158" s="529">
        <v>457.06</v>
      </c>
      <c r="T158" s="253"/>
      <c r="U158" s="535">
        <v>150</v>
      </c>
      <c r="V158" s="536">
        <v>331.93</v>
      </c>
      <c r="W158" s="529">
        <v>464.71</v>
      </c>
      <c r="X158" s="253"/>
      <c r="Y158" s="535">
        <v>150</v>
      </c>
      <c r="Z158" s="536">
        <v>337.39</v>
      </c>
      <c r="AA158" s="529">
        <v>472.35</v>
      </c>
      <c r="AB158" s="253"/>
      <c r="AC158" s="535">
        <v>150</v>
      </c>
      <c r="AD158" s="536">
        <v>342.85</v>
      </c>
      <c r="AE158" s="529">
        <v>480</v>
      </c>
      <c r="AF158" s="253"/>
      <c r="AG158" s="535">
        <v>150</v>
      </c>
      <c r="AH158" s="536">
        <v>348.31</v>
      </c>
      <c r="AI158" s="529">
        <v>487.64</v>
      </c>
      <c r="AJ158" s="253"/>
      <c r="AK158" s="535">
        <v>150</v>
      </c>
      <c r="AL158" s="536">
        <v>353.77</v>
      </c>
      <c r="AM158" s="529">
        <v>495.28</v>
      </c>
      <c r="AN158" s="253"/>
      <c r="AO158" s="535">
        <v>150</v>
      </c>
      <c r="AP158" s="536">
        <v>359.23</v>
      </c>
      <c r="AQ158" s="529">
        <v>502.93</v>
      </c>
      <c r="AR158" s="253"/>
      <c r="AS158" s="535">
        <v>150</v>
      </c>
      <c r="AT158" s="536">
        <v>364.69</v>
      </c>
      <c r="AU158" s="529">
        <v>510.57</v>
      </c>
      <c r="AV158" s="253"/>
      <c r="AW158" s="535">
        <v>150</v>
      </c>
      <c r="AX158" s="536">
        <v>370.15</v>
      </c>
      <c r="AY158" s="529">
        <v>518.22</v>
      </c>
      <c r="AZ158" s="253"/>
      <c r="BA158" s="535">
        <v>150</v>
      </c>
      <c r="BB158" s="536">
        <v>375.61</v>
      </c>
      <c r="BC158" s="529">
        <v>525.86</v>
      </c>
      <c r="BD158" s="253"/>
      <c r="BE158" s="535">
        <v>150</v>
      </c>
      <c r="BF158" s="536">
        <v>381.07</v>
      </c>
      <c r="BG158" s="529">
        <v>533.5</v>
      </c>
      <c r="BH158" s="253"/>
      <c r="BI158" s="535">
        <v>150</v>
      </c>
      <c r="BJ158" s="536">
        <v>386.53</v>
      </c>
      <c r="BK158" s="529">
        <v>541.15</v>
      </c>
      <c r="BL158" s="253"/>
    </row>
    <row r="159" spans="1:64" ht="23.25">
      <c r="A159" s="263">
        <v>151</v>
      </c>
      <c r="B159" s="1437">
        <f t="shared" si="4"/>
        <v>334.08</v>
      </c>
      <c r="C159" s="1438">
        <f t="shared" si="5"/>
        <v>467.71</v>
      </c>
      <c r="D159" s="253"/>
      <c r="E159" s="1420">
        <v>151</v>
      </c>
      <c r="F159" s="1421">
        <v>312.08999999999997</v>
      </c>
      <c r="G159" s="1414">
        <v>436.93</v>
      </c>
      <c r="H159" s="1404"/>
      <c r="I159" s="1420">
        <v>151</v>
      </c>
      <c r="J159" s="1421">
        <v>317.58999999999997</v>
      </c>
      <c r="K159" s="1414">
        <v>444.62</v>
      </c>
      <c r="L159" s="253"/>
      <c r="M159" s="535">
        <v>151</v>
      </c>
      <c r="N159" s="536">
        <v>323.08</v>
      </c>
      <c r="O159" s="529">
        <v>452.32</v>
      </c>
      <c r="P159" s="253"/>
      <c r="Q159" s="535">
        <v>151</v>
      </c>
      <c r="R159" s="536">
        <v>328.58</v>
      </c>
      <c r="S159" s="529">
        <v>460.01</v>
      </c>
      <c r="T159" s="253"/>
      <c r="U159" s="535">
        <v>151</v>
      </c>
      <c r="V159" s="536">
        <v>334.08</v>
      </c>
      <c r="W159" s="529">
        <v>467.71</v>
      </c>
      <c r="X159" s="253"/>
      <c r="Y159" s="535">
        <v>151</v>
      </c>
      <c r="Z159" s="536">
        <v>339.57</v>
      </c>
      <c r="AA159" s="529">
        <v>475.4</v>
      </c>
      <c r="AB159" s="253"/>
      <c r="AC159" s="535">
        <v>151</v>
      </c>
      <c r="AD159" s="536">
        <v>345.07</v>
      </c>
      <c r="AE159" s="529">
        <v>483.1</v>
      </c>
      <c r="AF159" s="253"/>
      <c r="AG159" s="535">
        <v>151</v>
      </c>
      <c r="AH159" s="536">
        <v>350.56</v>
      </c>
      <c r="AI159" s="529">
        <v>490.79</v>
      </c>
      <c r="AJ159" s="253"/>
      <c r="AK159" s="535">
        <v>151</v>
      </c>
      <c r="AL159" s="536">
        <v>356.03</v>
      </c>
      <c r="AM159" s="529">
        <v>498.49</v>
      </c>
      <c r="AN159" s="253"/>
      <c r="AO159" s="535">
        <v>151</v>
      </c>
      <c r="AP159" s="536">
        <v>361.56</v>
      </c>
      <c r="AQ159" s="529">
        <v>503.18</v>
      </c>
      <c r="AR159" s="253"/>
      <c r="AS159" s="535">
        <v>151</v>
      </c>
      <c r="AT159" s="536">
        <v>367.05</v>
      </c>
      <c r="AU159" s="529">
        <v>513.88</v>
      </c>
      <c r="AV159" s="253"/>
      <c r="AW159" s="535">
        <v>151</v>
      </c>
      <c r="AX159" s="536">
        <v>372.55</v>
      </c>
      <c r="AY159" s="529">
        <v>521.57000000000005</v>
      </c>
      <c r="AZ159" s="253"/>
      <c r="BA159" s="535">
        <v>151</v>
      </c>
      <c r="BB159" s="536">
        <v>378.05</v>
      </c>
      <c r="BC159" s="529">
        <v>529.27</v>
      </c>
      <c r="BD159" s="253"/>
      <c r="BE159" s="535">
        <v>151</v>
      </c>
      <c r="BF159" s="536">
        <v>383.54</v>
      </c>
      <c r="BG159" s="529">
        <v>536.96</v>
      </c>
      <c r="BH159" s="253"/>
      <c r="BI159" s="535">
        <v>151</v>
      </c>
      <c r="BJ159" s="536">
        <v>389.04</v>
      </c>
      <c r="BK159" s="529">
        <v>544.66</v>
      </c>
      <c r="BL159" s="253"/>
    </row>
    <row r="160" spans="1:64" ht="23.25">
      <c r="A160" s="263">
        <v>152</v>
      </c>
      <c r="B160" s="1437">
        <f t="shared" si="4"/>
        <v>336.22</v>
      </c>
      <c r="C160" s="1438">
        <f t="shared" si="5"/>
        <v>470.71</v>
      </c>
      <c r="D160" s="253"/>
      <c r="E160" s="1420">
        <v>152</v>
      </c>
      <c r="F160" s="1421">
        <v>314.08999999999997</v>
      </c>
      <c r="G160" s="1414">
        <v>439.73</v>
      </c>
      <c r="H160" s="1404"/>
      <c r="I160" s="1420">
        <v>152</v>
      </c>
      <c r="J160" s="1421">
        <v>319.62</v>
      </c>
      <c r="K160" s="1414">
        <v>447.47</v>
      </c>
      <c r="L160" s="253"/>
      <c r="M160" s="535">
        <v>152</v>
      </c>
      <c r="N160" s="536">
        <v>325.16000000000003</v>
      </c>
      <c r="O160" s="529">
        <v>455.22</v>
      </c>
      <c r="P160" s="253"/>
      <c r="Q160" s="535">
        <v>152</v>
      </c>
      <c r="R160" s="536">
        <v>330.69</v>
      </c>
      <c r="S160" s="529">
        <v>462.96</v>
      </c>
      <c r="T160" s="253"/>
      <c r="U160" s="535">
        <v>152</v>
      </c>
      <c r="V160" s="536">
        <v>336.22</v>
      </c>
      <c r="W160" s="529">
        <v>470.71</v>
      </c>
      <c r="X160" s="253"/>
      <c r="Y160" s="535">
        <v>152</v>
      </c>
      <c r="Z160" s="536">
        <v>341.75</v>
      </c>
      <c r="AA160" s="529">
        <v>478.46</v>
      </c>
      <c r="AB160" s="253"/>
      <c r="AC160" s="535">
        <v>152</v>
      </c>
      <c r="AD160" s="536">
        <v>347.29</v>
      </c>
      <c r="AE160" s="529">
        <v>486.2</v>
      </c>
      <c r="AF160" s="253"/>
      <c r="AG160" s="535">
        <v>152</v>
      </c>
      <c r="AH160" s="536">
        <v>352.82</v>
      </c>
      <c r="AI160" s="529">
        <v>493.95</v>
      </c>
      <c r="AJ160" s="253"/>
      <c r="AK160" s="535">
        <v>152</v>
      </c>
      <c r="AL160" s="536">
        <v>358.35</v>
      </c>
      <c r="AM160" s="529">
        <v>501.69</v>
      </c>
      <c r="AN160" s="253"/>
      <c r="AO160" s="535">
        <v>152</v>
      </c>
      <c r="AP160" s="536">
        <v>363.89</v>
      </c>
      <c r="AQ160" s="529">
        <v>509.44</v>
      </c>
      <c r="AR160" s="253"/>
      <c r="AS160" s="535">
        <v>152</v>
      </c>
      <c r="AT160" s="536">
        <v>369.42</v>
      </c>
      <c r="AU160" s="529">
        <v>517.19000000000005</v>
      </c>
      <c r="AV160" s="253"/>
      <c r="AW160" s="535">
        <v>152</v>
      </c>
      <c r="AX160" s="536">
        <v>374.95</v>
      </c>
      <c r="AY160" s="529">
        <v>524.92999999999995</v>
      </c>
      <c r="AZ160" s="253"/>
      <c r="BA160" s="535">
        <v>152</v>
      </c>
      <c r="BB160" s="536">
        <v>380.48</v>
      </c>
      <c r="BC160" s="529">
        <v>532.67999999999995</v>
      </c>
      <c r="BD160" s="253"/>
      <c r="BE160" s="535">
        <v>152</v>
      </c>
      <c r="BF160" s="536">
        <v>386.02</v>
      </c>
      <c r="BG160" s="529">
        <v>540.41999999999996</v>
      </c>
      <c r="BH160" s="253"/>
      <c r="BI160" s="535">
        <v>152</v>
      </c>
      <c r="BJ160" s="536">
        <v>391.55</v>
      </c>
      <c r="BK160" s="529">
        <v>548.16999999999996</v>
      </c>
      <c r="BL160" s="253"/>
    </row>
    <row r="161" spans="1:64" ht="23.25">
      <c r="A161" s="263">
        <v>153</v>
      </c>
      <c r="B161" s="1437">
        <f t="shared" si="4"/>
        <v>338.37</v>
      </c>
      <c r="C161" s="1438">
        <f t="shared" si="5"/>
        <v>473.72</v>
      </c>
      <c r="D161" s="253"/>
      <c r="E161" s="1420">
        <v>153</v>
      </c>
      <c r="F161" s="1421">
        <v>316.10000000000002</v>
      </c>
      <c r="G161" s="1414">
        <v>442.53</v>
      </c>
      <c r="H161" s="1404"/>
      <c r="I161" s="1420">
        <v>153</v>
      </c>
      <c r="J161" s="1421">
        <v>321.67</v>
      </c>
      <c r="K161" s="1414">
        <v>450.33</v>
      </c>
      <c r="L161" s="253"/>
      <c r="M161" s="535">
        <v>153</v>
      </c>
      <c r="N161" s="536">
        <v>327.23</v>
      </c>
      <c r="O161" s="529">
        <v>458.13</v>
      </c>
      <c r="P161" s="253"/>
      <c r="Q161" s="535">
        <v>153</v>
      </c>
      <c r="R161" s="536">
        <v>332.8</v>
      </c>
      <c r="S161" s="529">
        <v>465.92</v>
      </c>
      <c r="T161" s="253"/>
      <c r="U161" s="535">
        <v>153</v>
      </c>
      <c r="V161" s="536">
        <v>338.37</v>
      </c>
      <c r="W161" s="529">
        <v>473.72</v>
      </c>
      <c r="X161" s="253"/>
      <c r="Y161" s="535">
        <v>153</v>
      </c>
      <c r="Z161" s="536">
        <v>343.94</v>
      </c>
      <c r="AA161" s="529">
        <v>481.52</v>
      </c>
      <c r="AB161" s="253"/>
      <c r="AC161" s="535">
        <v>153</v>
      </c>
      <c r="AD161" s="536">
        <v>349.51</v>
      </c>
      <c r="AE161" s="529">
        <v>489.32</v>
      </c>
      <c r="AF161" s="253"/>
      <c r="AG161" s="535">
        <v>153</v>
      </c>
      <c r="AH161" s="536">
        <v>355.08</v>
      </c>
      <c r="AI161" s="529">
        <v>497.11</v>
      </c>
      <c r="AJ161" s="253"/>
      <c r="AK161" s="535">
        <v>153</v>
      </c>
      <c r="AL161" s="536">
        <v>360.65</v>
      </c>
      <c r="AM161" s="529">
        <v>504.91</v>
      </c>
      <c r="AN161" s="253"/>
      <c r="AO161" s="535">
        <v>153</v>
      </c>
      <c r="AP161" s="536">
        <v>366.22</v>
      </c>
      <c r="AQ161" s="529">
        <v>512.71</v>
      </c>
      <c r="AR161" s="253"/>
      <c r="AS161" s="535">
        <v>153</v>
      </c>
      <c r="AT161" s="536">
        <v>371.79</v>
      </c>
      <c r="AU161" s="529">
        <v>520.5</v>
      </c>
      <c r="AV161" s="253"/>
      <c r="AW161" s="535">
        <v>153</v>
      </c>
      <c r="AX161" s="536">
        <v>377.36</v>
      </c>
      <c r="AY161" s="529">
        <v>528.29999999999995</v>
      </c>
      <c r="AZ161" s="253"/>
      <c r="BA161" s="535">
        <v>153</v>
      </c>
      <c r="BB161" s="536">
        <v>382.93</v>
      </c>
      <c r="BC161" s="529">
        <v>536.1</v>
      </c>
      <c r="BD161" s="253"/>
      <c r="BE161" s="535">
        <v>153</v>
      </c>
      <c r="BF161" s="536">
        <v>388.5</v>
      </c>
      <c r="BG161" s="529">
        <v>543.89</v>
      </c>
      <c r="BH161" s="253"/>
      <c r="BI161" s="535">
        <v>153</v>
      </c>
      <c r="BJ161" s="536">
        <v>394.06</v>
      </c>
      <c r="BK161" s="529">
        <v>551.69000000000005</v>
      </c>
      <c r="BL161" s="253"/>
    </row>
    <row r="162" spans="1:64" ht="23.25">
      <c r="A162" s="263">
        <v>154</v>
      </c>
      <c r="B162" s="1437">
        <f t="shared" si="4"/>
        <v>340.53</v>
      </c>
      <c r="C162" s="1438">
        <f t="shared" si="5"/>
        <v>476.74</v>
      </c>
      <c r="D162" s="253"/>
      <c r="E162" s="1420">
        <v>154</v>
      </c>
      <c r="F162" s="1421">
        <v>318.11</v>
      </c>
      <c r="G162" s="1414">
        <v>445.35</v>
      </c>
      <c r="H162" s="1404"/>
      <c r="I162" s="1420">
        <v>154</v>
      </c>
      <c r="J162" s="1421">
        <v>323.70999999999998</v>
      </c>
      <c r="K162" s="1414">
        <v>453.2</v>
      </c>
      <c r="L162" s="253"/>
      <c r="M162" s="535">
        <v>154</v>
      </c>
      <c r="N162" s="536">
        <v>329.32</v>
      </c>
      <c r="O162" s="529">
        <v>461.04</v>
      </c>
      <c r="P162" s="253"/>
      <c r="Q162" s="535">
        <v>154</v>
      </c>
      <c r="R162" s="536">
        <v>334.92</v>
      </c>
      <c r="S162" s="529">
        <v>468.89</v>
      </c>
      <c r="T162" s="253"/>
      <c r="U162" s="535">
        <v>154</v>
      </c>
      <c r="V162" s="536">
        <v>340.53</v>
      </c>
      <c r="W162" s="529">
        <v>476.74</v>
      </c>
      <c r="X162" s="253"/>
      <c r="Y162" s="535">
        <v>154</v>
      </c>
      <c r="Z162" s="536">
        <v>346.13</v>
      </c>
      <c r="AA162" s="529">
        <v>484.59</v>
      </c>
      <c r="AB162" s="253"/>
      <c r="AC162" s="535">
        <v>154</v>
      </c>
      <c r="AD162" s="536">
        <v>351.74</v>
      </c>
      <c r="AE162" s="529">
        <v>492.43</v>
      </c>
      <c r="AF162" s="253"/>
      <c r="AG162" s="535">
        <v>154</v>
      </c>
      <c r="AH162" s="536">
        <v>357.34</v>
      </c>
      <c r="AI162" s="529">
        <v>500.28</v>
      </c>
      <c r="AJ162" s="253"/>
      <c r="AK162" s="535">
        <v>154</v>
      </c>
      <c r="AL162" s="536">
        <v>362.95</v>
      </c>
      <c r="AM162" s="529">
        <v>508.13</v>
      </c>
      <c r="AN162" s="253"/>
      <c r="AO162" s="535">
        <v>154</v>
      </c>
      <c r="AP162" s="536">
        <v>368.56</v>
      </c>
      <c r="AQ162" s="529">
        <v>515.98</v>
      </c>
      <c r="AR162" s="253"/>
      <c r="AS162" s="535">
        <v>154</v>
      </c>
      <c r="AT162" s="536">
        <v>374.16</v>
      </c>
      <c r="AU162" s="529">
        <v>523.83000000000004</v>
      </c>
      <c r="AV162" s="253"/>
      <c r="AW162" s="535">
        <v>154</v>
      </c>
      <c r="AX162" s="536">
        <v>379.77</v>
      </c>
      <c r="AY162" s="529">
        <v>531.66999999999996</v>
      </c>
      <c r="AZ162" s="253"/>
      <c r="BA162" s="535">
        <v>154</v>
      </c>
      <c r="BB162" s="536">
        <v>385.37</v>
      </c>
      <c r="BC162" s="529">
        <v>539.52</v>
      </c>
      <c r="BD162" s="253"/>
      <c r="BE162" s="535">
        <v>154</v>
      </c>
      <c r="BF162" s="536">
        <v>390.98</v>
      </c>
      <c r="BG162" s="529">
        <v>547.37</v>
      </c>
      <c r="BH162" s="253"/>
      <c r="BI162" s="535">
        <v>154</v>
      </c>
      <c r="BJ162" s="536">
        <v>396.58</v>
      </c>
      <c r="BK162" s="529">
        <v>555.22</v>
      </c>
      <c r="BL162" s="253"/>
    </row>
    <row r="163" spans="1:64" ht="23.25">
      <c r="A163" s="263">
        <v>155</v>
      </c>
      <c r="B163" s="1437">
        <f t="shared" si="4"/>
        <v>342.69</v>
      </c>
      <c r="C163" s="1438">
        <f t="shared" si="5"/>
        <v>479.76</v>
      </c>
      <c r="D163" s="253"/>
      <c r="E163" s="1420">
        <v>155</v>
      </c>
      <c r="F163" s="1421">
        <v>320.12</v>
      </c>
      <c r="G163" s="1414">
        <v>448.17</v>
      </c>
      <c r="H163" s="1404"/>
      <c r="I163" s="1420">
        <v>155</v>
      </c>
      <c r="J163" s="1421">
        <v>325.76</v>
      </c>
      <c r="K163" s="1414">
        <v>456.07</v>
      </c>
      <c r="L163" s="253"/>
      <c r="M163" s="535">
        <v>155</v>
      </c>
      <c r="N163" s="536">
        <v>331.4</v>
      </c>
      <c r="O163" s="529">
        <v>463.96</v>
      </c>
      <c r="P163" s="253"/>
      <c r="Q163" s="535">
        <v>155</v>
      </c>
      <c r="R163" s="536">
        <v>337.05</v>
      </c>
      <c r="S163" s="529">
        <v>471.86</v>
      </c>
      <c r="T163" s="253"/>
      <c r="U163" s="535">
        <v>155</v>
      </c>
      <c r="V163" s="536">
        <v>342.69</v>
      </c>
      <c r="W163" s="529">
        <v>479.76</v>
      </c>
      <c r="X163" s="253"/>
      <c r="Y163" s="535">
        <v>155</v>
      </c>
      <c r="Z163" s="536">
        <v>348.33</v>
      </c>
      <c r="AA163" s="529">
        <v>487.66</v>
      </c>
      <c r="AB163" s="253"/>
      <c r="AC163" s="535">
        <v>155</v>
      </c>
      <c r="AD163" s="536">
        <v>353.97</v>
      </c>
      <c r="AE163" s="529">
        <v>495.56</v>
      </c>
      <c r="AF163" s="253"/>
      <c r="AG163" s="535">
        <v>155</v>
      </c>
      <c r="AH163" s="536">
        <v>359.61</v>
      </c>
      <c r="AI163" s="529">
        <v>503.46</v>
      </c>
      <c r="AJ163" s="253"/>
      <c r="AK163" s="535">
        <v>155</v>
      </c>
      <c r="AL163" s="536">
        <v>365.26</v>
      </c>
      <c r="AM163" s="529">
        <v>511.36</v>
      </c>
      <c r="AN163" s="253"/>
      <c r="AO163" s="535">
        <v>155</v>
      </c>
      <c r="AP163" s="536">
        <v>370.9</v>
      </c>
      <c r="AQ163" s="529">
        <v>519.26</v>
      </c>
      <c r="AR163" s="253"/>
      <c r="AS163" s="535">
        <v>155</v>
      </c>
      <c r="AT163" s="536">
        <v>376.54</v>
      </c>
      <c r="AU163" s="529">
        <v>527.15</v>
      </c>
      <c r="AV163" s="253"/>
      <c r="AW163" s="535">
        <v>155</v>
      </c>
      <c r="AX163" s="536">
        <v>382.18</v>
      </c>
      <c r="AY163" s="529">
        <v>535.04999999999995</v>
      </c>
      <c r="AZ163" s="253"/>
      <c r="BA163" s="535">
        <v>155</v>
      </c>
      <c r="BB163" s="536">
        <v>387.82</v>
      </c>
      <c r="BC163" s="529">
        <v>542.95000000000005</v>
      </c>
      <c r="BD163" s="253"/>
      <c r="BE163" s="535">
        <v>155</v>
      </c>
      <c r="BF163" s="536">
        <v>393.47</v>
      </c>
      <c r="BG163" s="529">
        <v>550.85</v>
      </c>
      <c r="BH163" s="253"/>
      <c r="BI163" s="535">
        <v>155</v>
      </c>
      <c r="BJ163" s="536">
        <v>399.11</v>
      </c>
      <c r="BK163" s="529">
        <v>558.75</v>
      </c>
      <c r="BL163" s="253"/>
    </row>
    <row r="164" spans="1:64" ht="23.25">
      <c r="A164" s="263">
        <v>156</v>
      </c>
      <c r="B164" s="1437">
        <f t="shared" si="4"/>
        <v>344.85</v>
      </c>
      <c r="C164" s="1438">
        <f t="shared" si="5"/>
        <v>482.79</v>
      </c>
      <c r="D164" s="253"/>
      <c r="E164" s="1420">
        <v>156</v>
      </c>
      <c r="F164" s="1421">
        <v>322.14</v>
      </c>
      <c r="G164" s="1414">
        <v>450.99</v>
      </c>
      <c r="H164" s="1404"/>
      <c r="I164" s="1420">
        <v>156</v>
      </c>
      <c r="J164" s="1421">
        <v>327.82</v>
      </c>
      <c r="K164" s="1414">
        <v>458.94</v>
      </c>
      <c r="L164" s="253"/>
      <c r="M164" s="535">
        <v>156</v>
      </c>
      <c r="N164" s="536">
        <v>333.49</v>
      </c>
      <c r="O164" s="529">
        <v>466.89</v>
      </c>
      <c r="P164" s="253"/>
      <c r="Q164" s="535">
        <v>156</v>
      </c>
      <c r="R164" s="536">
        <v>339.17</v>
      </c>
      <c r="S164" s="529">
        <v>474.84</v>
      </c>
      <c r="T164" s="253"/>
      <c r="U164" s="535">
        <v>156</v>
      </c>
      <c r="V164" s="536">
        <v>344.85</v>
      </c>
      <c r="W164" s="529">
        <v>482.79</v>
      </c>
      <c r="X164" s="253"/>
      <c r="Y164" s="535">
        <v>156</v>
      </c>
      <c r="Z164" s="536">
        <v>350.53</v>
      </c>
      <c r="AA164" s="529">
        <v>490.74</v>
      </c>
      <c r="AB164" s="253"/>
      <c r="AC164" s="535">
        <v>156</v>
      </c>
      <c r="AD164" s="536">
        <v>356.21</v>
      </c>
      <c r="AE164" s="529">
        <v>498.69</v>
      </c>
      <c r="AF164" s="253"/>
      <c r="AG164" s="535">
        <v>156</v>
      </c>
      <c r="AH164" s="536">
        <v>361.89</v>
      </c>
      <c r="AI164" s="529">
        <v>506.64</v>
      </c>
      <c r="AJ164" s="253"/>
      <c r="AK164" s="535">
        <v>156</v>
      </c>
      <c r="AL164" s="536">
        <v>367.57</v>
      </c>
      <c r="AM164" s="529">
        <v>514.59</v>
      </c>
      <c r="AN164" s="253"/>
      <c r="AO164" s="535">
        <v>156</v>
      </c>
      <c r="AP164" s="536">
        <v>373.24</v>
      </c>
      <c r="AQ164" s="529">
        <v>522.54</v>
      </c>
      <c r="AR164" s="253"/>
      <c r="AS164" s="535">
        <v>156</v>
      </c>
      <c r="AT164" s="536">
        <v>378.92</v>
      </c>
      <c r="AU164" s="529">
        <v>530.49</v>
      </c>
      <c r="AV164" s="253"/>
      <c r="AW164" s="535">
        <v>156</v>
      </c>
      <c r="AX164" s="536">
        <v>384.6</v>
      </c>
      <c r="AY164" s="529">
        <v>538.44000000000005</v>
      </c>
      <c r="AZ164" s="253"/>
      <c r="BA164" s="535">
        <v>156</v>
      </c>
      <c r="BB164" s="536">
        <v>390.28</v>
      </c>
      <c r="BC164" s="529">
        <v>546.39</v>
      </c>
      <c r="BD164" s="253"/>
      <c r="BE164" s="535">
        <v>156</v>
      </c>
      <c r="BF164" s="536">
        <v>395.96</v>
      </c>
      <c r="BG164" s="529">
        <v>554.34</v>
      </c>
      <c r="BH164" s="253"/>
      <c r="BI164" s="535">
        <v>156</v>
      </c>
      <c r="BJ164" s="536">
        <v>401.64</v>
      </c>
      <c r="BK164" s="529">
        <v>562.29</v>
      </c>
      <c r="BL164" s="253"/>
    </row>
    <row r="165" spans="1:64" ht="23.25">
      <c r="A165" s="263">
        <v>157</v>
      </c>
      <c r="B165" s="1437">
        <f t="shared" si="4"/>
        <v>347.02</v>
      </c>
      <c r="C165" s="1438">
        <f t="shared" si="5"/>
        <v>485.83</v>
      </c>
      <c r="D165" s="253"/>
      <c r="E165" s="1420">
        <v>157</v>
      </c>
      <c r="F165" s="1421">
        <v>324.16000000000003</v>
      </c>
      <c r="G165" s="1414">
        <v>453.83</v>
      </c>
      <c r="H165" s="1404"/>
      <c r="I165" s="1420">
        <v>157</v>
      </c>
      <c r="J165" s="1421">
        <v>329.88</v>
      </c>
      <c r="K165" s="1414">
        <v>461.83</v>
      </c>
      <c r="L165" s="253"/>
      <c r="M165" s="535">
        <v>157</v>
      </c>
      <c r="N165" s="536">
        <v>335.59</v>
      </c>
      <c r="O165" s="529">
        <v>469.83</v>
      </c>
      <c r="P165" s="253"/>
      <c r="Q165" s="535">
        <v>157</v>
      </c>
      <c r="R165" s="536">
        <v>341.31</v>
      </c>
      <c r="S165" s="529">
        <v>477.83</v>
      </c>
      <c r="T165" s="253"/>
      <c r="U165" s="535">
        <v>157</v>
      </c>
      <c r="V165" s="536">
        <v>347.02</v>
      </c>
      <c r="W165" s="529">
        <v>485.83</v>
      </c>
      <c r="X165" s="253"/>
      <c r="Y165" s="535">
        <v>157</v>
      </c>
      <c r="Z165" s="536">
        <v>352.74</v>
      </c>
      <c r="AA165" s="529">
        <v>493.83</v>
      </c>
      <c r="AB165" s="253"/>
      <c r="AC165" s="535">
        <v>157</v>
      </c>
      <c r="AD165" s="536">
        <v>358.45</v>
      </c>
      <c r="AE165" s="529">
        <v>501.83</v>
      </c>
      <c r="AF165" s="253"/>
      <c r="AG165" s="535">
        <v>157</v>
      </c>
      <c r="AH165" s="536">
        <v>364.16</v>
      </c>
      <c r="AI165" s="529">
        <v>509.83</v>
      </c>
      <c r="AJ165" s="253"/>
      <c r="AK165" s="535">
        <v>157</v>
      </c>
      <c r="AL165" s="536">
        <v>369.88</v>
      </c>
      <c r="AM165" s="529">
        <v>517.83000000000004</v>
      </c>
      <c r="AN165" s="253"/>
      <c r="AO165" s="535">
        <v>157</v>
      </c>
      <c r="AP165" s="536">
        <v>375.59</v>
      </c>
      <c r="AQ165" s="529">
        <v>525.83000000000004</v>
      </c>
      <c r="AR165" s="253"/>
      <c r="AS165" s="535">
        <v>157</v>
      </c>
      <c r="AT165" s="536">
        <v>381.31</v>
      </c>
      <c r="AU165" s="529">
        <v>533.83000000000004</v>
      </c>
      <c r="AV165" s="253"/>
      <c r="AW165" s="535">
        <v>157</v>
      </c>
      <c r="AX165" s="536">
        <v>387.02</v>
      </c>
      <c r="AY165" s="529">
        <v>541.83000000000004</v>
      </c>
      <c r="AZ165" s="253"/>
      <c r="BA165" s="535">
        <v>157</v>
      </c>
      <c r="BB165" s="536">
        <v>392.74</v>
      </c>
      <c r="BC165" s="529">
        <v>549.83000000000004</v>
      </c>
      <c r="BD165" s="253"/>
      <c r="BE165" s="535">
        <v>157</v>
      </c>
      <c r="BF165" s="536">
        <v>398.45</v>
      </c>
      <c r="BG165" s="529">
        <v>557.83000000000004</v>
      </c>
      <c r="BH165" s="253"/>
      <c r="BI165" s="535">
        <v>157</v>
      </c>
      <c r="BJ165" s="536">
        <v>404.17</v>
      </c>
      <c r="BK165" s="529">
        <v>565.84</v>
      </c>
      <c r="BL165" s="253"/>
    </row>
    <row r="166" spans="1:64" ht="23.25">
      <c r="A166" s="263">
        <v>158</v>
      </c>
      <c r="B166" s="1437">
        <f t="shared" si="4"/>
        <v>349.61</v>
      </c>
      <c r="C166" s="1438">
        <f t="shared" si="5"/>
        <v>489.45</v>
      </c>
      <c r="D166" s="253"/>
      <c r="E166" s="1420">
        <v>158</v>
      </c>
      <c r="F166" s="1421">
        <v>326.61</v>
      </c>
      <c r="G166" s="1414">
        <v>457.25</v>
      </c>
      <c r="H166" s="1404"/>
      <c r="I166" s="1420">
        <v>158</v>
      </c>
      <c r="J166" s="1421">
        <v>332.36</v>
      </c>
      <c r="K166" s="1414">
        <v>465.3</v>
      </c>
      <c r="L166" s="253"/>
      <c r="M166" s="535">
        <v>158</v>
      </c>
      <c r="N166" s="536">
        <v>338.11</v>
      </c>
      <c r="O166" s="529">
        <v>473.35</v>
      </c>
      <c r="P166" s="253"/>
      <c r="Q166" s="535">
        <v>158</v>
      </c>
      <c r="R166" s="536">
        <v>343.86</v>
      </c>
      <c r="S166" s="529">
        <v>481.4</v>
      </c>
      <c r="T166" s="253"/>
      <c r="U166" s="535">
        <v>158</v>
      </c>
      <c r="V166" s="536">
        <v>349.61</v>
      </c>
      <c r="W166" s="529">
        <v>489.45</v>
      </c>
      <c r="X166" s="253"/>
      <c r="Y166" s="535">
        <v>158</v>
      </c>
      <c r="Z166" s="536">
        <v>355.36</v>
      </c>
      <c r="AA166" s="529">
        <v>497.51</v>
      </c>
      <c r="AB166" s="253"/>
      <c r="AC166" s="535">
        <v>158</v>
      </c>
      <c r="AD166" s="536">
        <v>361.11</v>
      </c>
      <c r="AE166" s="529">
        <v>505.56</v>
      </c>
      <c r="AF166" s="253"/>
      <c r="AG166" s="535">
        <v>158</v>
      </c>
      <c r="AH166" s="536">
        <v>366.86</v>
      </c>
      <c r="AI166" s="529">
        <v>513.61</v>
      </c>
      <c r="AJ166" s="253"/>
      <c r="AK166" s="535">
        <v>158</v>
      </c>
      <c r="AL166" s="536">
        <v>372.62</v>
      </c>
      <c r="AM166" s="529">
        <v>521.66</v>
      </c>
      <c r="AN166" s="253"/>
      <c r="AO166" s="535">
        <v>158</v>
      </c>
      <c r="AP166" s="536">
        <v>378.37</v>
      </c>
      <c r="AQ166" s="529">
        <v>529.71</v>
      </c>
      <c r="AR166" s="253"/>
      <c r="AS166" s="535">
        <v>158</v>
      </c>
      <c r="AT166" s="536">
        <v>384.12</v>
      </c>
      <c r="AU166" s="529">
        <v>537.76</v>
      </c>
      <c r="AV166" s="253"/>
      <c r="AW166" s="535">
        <v>158</v>
      </c>
      <c r="AX166" s="536">
        <v>389.87</v>
      </c>
      <c r="AY166" s="529">
        <v>545.82000000000005</v>
      </c>
      <c r="AZ166" s="253"/>
      <c r="BA166" s="535">
        <v>158</v>
      </c>
      <c r="BB166" s="536">
        <v>395.62</v>
      </c>
      <c r="BC166" s="529">
        <v>553.87</v>
      </c>
      <c r="BD166" s="253"/>
      <c r="BE166" s="535">
        <v>158</v>
      </c>
      <c r="BF166" s="536">
        <v>401.37</v>
      </c>
      <c r="BG166" s="529">
        <v>561.91999999999996</v>
      </c>
      <c r="BH166" s="253"/>
      <c r="BI166" s="535">
        <v>158</v>
      </c>
      <c r="BJ166" s="536">
        <v>407.12</v>
      </c>
      <c r="BK166" s="529">
        <v>569.97</v>
      </c>
      <c r="BL166" s="253"/>
    </row>
    <row r="167" spans="1:64" ht="23.25">
      <c r="A167" s="263">
        <v>159</v>
      </c>
      <c r="B167" s="1437">
        <f t="shared" si="4"/>
        <v>351.79</v>
      </c>
      <c r="C167" s="1438">
        <f t="shared" si="5"/>
        <v>492.51</v>
      </c>
      <c r="D167" s="253"/>
      <c r="E167" s="1420">
        <v>159</v>
      </c>
      <c r="F167" s="1421">
        <v>328.64</v>
      </c>
      <c r="G167" s="1414">
        <v>460.1</v>
      </c>
      <c r="H167" s="1404"/>
      <c r="I167" s="1420">
        <v>159</v>
      </c>
      <c r="J167" s="1421">
        <v>334.43</v>
      </c>
      <c r="K167" s="1414">
        <v>468.2</v>
      </c>
      <c r="L167" s="253"/>
      <c r="M167" s="535">
        <v>159</v>
      </c>
      <c r="N167" s="536">
        <v>340.22</v>
      </c>
      <c r="O167" s="529">
        <v>476.31</v>
      </c>
      <c r="P167" s="253"/>
      <c r="Q167" s="535">
        <v>159</v>
      </c>
      <c r="R167" s="536">
        <v>346.01</v>
      </c>
      <c r="S167" s="529">
        <v>484.41</v>
      </c>
      <c r="T167" s="253"/>
      <c r="U167" s="535">
        <v>159</v>
      </c>
      <c r="V167" s="536">
        <v>351.79</v>
      </c>
      <c r="W167" s="529">
        <v>492.51</v>
      </c>
      <c r="X167" s="253"/>
      <c r="Y167" s="535">
        <v>159</v>
      </c>
      <c r="Z167" s="536">
        <v>357.58</v>
      </c>
      <c r="AA167" s="529">
        <v>500.61</v>
      </c>
      <c r="AB167" s="253"/>
      <c r="AC167" s="535">
        <v>159</v>
      </c>
      <c r="AD167" s="536">
        <v>363.37</v>
      </c>
      <c r="AE167" s="529">
        <v>508.72</v>
      </c>
      <c r="AF167" s="253"/>
      <c r="AG167" s="535">
        <v>159</v>
      </c>
      <c r="AH167" s="536">
        <v>369.16</v>
      </c>
      <c r="AI167" s="529">
        <v>516.82000000000005</v>
      </c>
      <c r="AJ167" s="253"/>
      <c r="AK167" s="535">
        <v>159</v>
      </c>
      <c r="AL167" s="536">
        <v>374.94</v>
      </c>
      <c r="AM167" s="529">
        <v>524.91999999999996</v>
      </c>
      <c r="AN167" s="253"/>
      <c r="AO167" s="535">
        <v>159</v>
      </c>
      <c r="AP167" s="536">
        <v>380.73</v>
      </c>
      <c r="AQ167" s="529">
        <v>533.02</v>
      </c>
      <c r="AR167" s="253"/>
      <c r="AS167" s="535">
        <v>159</v>
      </c>
      <c r="AT167" s="536">
        <v>386.52</v>
      </c>
      <c r="AU167" s="529">
        <v>541.13</v>
      </c>
      <c r="AV167" s="253"/>
      <c r="AW167" s="535">
        <v>159</v>
      </c>
      <c r="AX167" s="536">
        <v>392.31</v>
      </c>
      <c r="AY167" s="529">
        <v>549.23</v>
      </c>
      <c r="AZ167" s="253"/>
      <c r="BA167" s="535">
        <v>159</v>
      </c>
      <c r="BB167" s="536">
        <v>398.09</v>
      </c>
      <c r="BC167" s="529">
        <v>557.33000000000004</v>
      </c>
      <c r="BD167" s="253"/>
      <c r="BE167" s="535">
        <v>159</v>
      </c>
      <c r="BF167" s="536">
        <v>403.88</v>
      </c>
      <c r="BG167" s="529">
        <v>565.44000000000005</v>
      </c>
      <c r="BH167" s="253"/>
      <c r="BI167" s="535">
        <v>159</v>
      </c>
      <c r="BJ167" s="536">
        <v>409.67</v>
      </c>
      <c r="BK167" s="529">
        <v>573.54</v>
      </c>
      <c r="BL167" s="253"/>
    </row>
    <row r="168" spans="1:64" ht="23.25">
      <c r="A168" s="263">
        <v>160</v>
      </c>
      <c r="B168" s="1437">
        <f t="shared" si="4"/>
        <v>353.98</v>
      </c>
      <c r="C168" s="1438">
        <f t="shared" si="5"/>
        <v>495.58</v>
      </c>
      <c r="D168" s="253"/>
      <c r="E168" s="1420">
        <v>160</v>
      </c>
      <c r="F168" s="1421">
        <v>330.69</v>
      </c>
      <c r="G168" s="1414">
        <v>462.96</v>
      </c>
      <c r="H168" s="1404"/>
      <c r="I168" s="1420">
        <v>160</v>
      </c>
      <c r="J168" s="1421">
        <v>336.51</v>
      </c>
      <c r="K168" s="1414">
        <v>471.11</v>
      </c>
      <c r="L168" s="253"/>
      <c r="M168" s="535">
        <v>160</v>
      </c>
      <c r="N168" s="536">
        <v>342.33</v>
      </c>
      <c r="O168" s="529">
        <v>479.27</v>
      </c>
      <c r="P168" s="253"/>
      <c r="Q168" s="535">
        <v>160</v>
      </c>
      <c r="R168" s="536">
        <v>348.16</v>
      </c>
      <c r="S168" s="529">
        <v>487.42</v>
      </c>
      <c r="T168" s="253"/>
      <c r="U168" s="535">
        <v>160</v>
      </c>
      <c r="V168" s="536">
        <v>353.98</v>
      </c>
      <c r="W168" s="529">
        <v>495.58</v>
      </c>
      <c r="X168" s="253"/>
      <c r="Y168" s="535">
        <v>160</v>
      </c>
      <c r="Z168" s="536">
        <v>359.81</v>
      </c>
      <c r="AA168" s="529">
        <v>503.73</v>
      </c>
      <c r="AB168" s="253"/>
      <c r="AC168" s="535">
        <v>160</v>
      </c>
      <c r="AD168" s="536">
        <v>365.63</v>
      </c>
      <c r="AE168" s="529">
        <v>511.88</v>
      </c>
      <c r="AF168" s="253"/>
      <c r="AG168" s="535">
        <v>160</v>
      </c>
      <c r="AH168" s="536">
        <v>371.45</v>
      </c>
      <c r="AI168" s="529">
        <v>520.04</v>
      </c>
      <c r="AJ168" s="253"/>
      <c r="AK168" s="535">
        <v>160</v>
      </c>
      <c r="AL168" s="536">
        <v>377.28</v>
      </c>
      <c r="AM168" s="529">
        <v>528.19000000000005</v>
      </c>
      <c r="AN168" s="253"/>
      <c r="AO168" s="535">
        <v>160</v>
      </c>
      <c r="AP168" s="536">
        <v>383.1</v>
      </c>
      <c r="AQ168" s="529">
        <v>536.34</v>
      </c>
      <c r="AR168" s="253"/>
      <c r="AS168" s="535">
        <v>160</v>
      </c>
      <c r="AT168" s="536">
        <v>388.93</v>
      </c>
      <c r="AU168" s="529">
        <v>544.5</v>
      </c>
      <c r="AV168" s="253"/>
      <c r="AW168" s="535">
        <v>160</v>
      </c>
      <c r="AX168" s="536">
        <v>394.75</v>
      </c>
      <c r="AY168" s="529">
        <v>552.65</v>
      </c>
      <c r="AZ168" s="253"/>
      <c r="BA168" s="535">
        <v>160</v>
      </c>
      <c r="BB168" s="536">
        <v>400.57</v>
      </c>
      <c r="BC168" s="529">
        <v>560.79999999999995</v>
      </c>
      <c r="BD168" s="253"/>
      <c r="BE168" s="535">
        <v>160</v>
      </c>
      <c r="BF168" s="536">
        <v>406.4</v>
      </c>
      <c r="BG168" s="529">
        <v>568.96</v>
      </c>
      <c r="BH168" s="253"/>
      <c r="BI168" s="535">
        <v>160</v>
      </c>
      <c r="BJ168" s="536">
        <v>412.22</v>
      </c>
      <c r="BK168" s="529">
        <v>577.11</v>
      </c>
      <c r="BL168" s="253"/>
    </row>
    <row r="169" spans="1:64" ht="23.25">
      <c r="A169" s="263">
        <v>161</v>
      </c>
      <c r="B169" s="1437">
        <f t="shared" si="4"/>
        <v>356.18</v>
      </c>
      <c r="C169" s="1438">
        <f t="shared" si="5"/>
        <v>498.65</v>
      </c>
      <c r="D169" s="253"/>
      <c r="E169" s="1420">
        <v>161</v>
      </c>
      <c r="F169" s="1421">
        <v>332.73</v>
      </c>
      <c r="G169" s="1414">
        <v>465.83</v>
      </c>
      <c r="H169" s="1404"/>
      <c r="I169" s="1420">
        <v>161</v>
      </c>
      <c r="J169" s="1421">
        <v>338.59</v>
      </c>
      <c r="K169" s="1414">
        <v>474.03</v>
      </c>
      <c r="L169" s="253"/>
      <c r="M169" s="535">
        <v>161</v>
      </c>
      <c r="N169" s="536">
        <v>344.45</v>
      </c>
      <c r="O169" s="529">
        <v>482.24</v>
      </c>
      <c r="P169" s="253"/>
      <c r="Q169" s="535">
        <v>161</v>
      </c>
      <c r="R169" s="536">
        <v>350.32</v>
      </c>
      <c r="S169" s="529">
        <v>490.44</v>
      </c>
      <c r="T169" s="253"/>
      <c r="U169" s="535">
        <v>161</v>
      </c>
      <c r="V169" s="536">
        <v>356.18</v>
      </c>
      <c r="W169" s="529">
        <v>498.65</v>
      </c>
      <c r="X169" s="253"/>
      <c r="Y169" s="535">
        <v>161</v>
      </c>
      <c r="Z169" s="536">
        <v>362.04</v>
      </c>
      <c r="AA169" s="529">
        <v>506.85</v>
      </c>
      <c r="AB169" s="253"/>
      <c r="AC169" s="535">
        <v>161</v>
      </c>
      <c r="AD169" s="536">
        <v>367.9</v>
      </c>
      <c r="AE169" s="529">
        <v>515.05999999999995</v>
      </c>
      <c r="AF169" s="253"/>
      <c r="AG169" s="535">
        <v>161</v>
      </c>
      <c r="AH169" s="536">
        <v>373.76</v>
      </c>
      <c r="AI169" s="529">
        <v>523.26</v>
      </c>
      <c r="AJ169" s="253"/>
      <c r="AK169" s="535">
        <v>161</v>
      </c>
      <c r="AL169" s="536">
        <v>379.62</v>
      </c>
      <c r="AM169" s="529">
        <v>531.46</v>
      </c>
      <c r="AN169" s="253"/>
      <c r="AO169" s="535">
        <v>161</v>
      </c>
      <c r="AP169" s="536">
        <v>385.48</v>
      </c>
      <c r="AQ169" s="529">
        <v>539.66999999999996</v>
      </c>
      <c r="AR169" s="253"/>
      <c r="AS169" s="535">
        <v>161</v>
      </c>
      <c r="AT169" s="536">
        <v>391.34</v>
      </c>
      <c r="AU169" s="529">
        <v>547.87</v>
      </c>
      <c r="AV169" s="253"/>
      <c r="AW169" s="535">
        <v>161</v>
      </c>
      <c r="AX169" s="536">
        <v>397.2</v>
      </c>
      <c r="AY169" s="529">
        <v>556.08000000000004</v>
      </c>
      <c r="AZ169" s="253"/>
      <c r="BA169" s="535">
        <v>161</v>
      </c>
      <c r="BB169" s="536">
        <v>403.06</v>
      </c>
      <c r="BC169" s="529">
        <v>564.28</v>
      </c>
      <c r="BD169" s="253"/>
      <c r="BE169" s="535">
        <v>161</v>
      </c>
      <c r="BF169" s="536">
        <v>408.92</v>
      </c>
      <c r="BG169" s="529">
        <v>572.49</v>
      </c>
      <c r="BH169" s="253"/>
      <c r="BI169" s="535">
        <v>161</v>
      </c>
      <c r="BJ169" s="536">
        <v>414.78</v>
      </c>
      <c r="BK169" s="529">
        <v>580.69000000000005</v>
      </c>
      <c r="BL169" s="253"/>
    </row>
    <row r="170" spans="1:64" ht="23.25">
      <c r="A170" s="263">
        <v>162</v>
      </c>
      <c r="B170" s="1437">
        <f t="shared" si="4"/>
        <v>358.37</v>
      </c>
      <c r="C170" s="1438">
        <f t="shared" si="5"/>
        <v>501.72</v>
      </c>
      <c r="D170" s="253"/>
      <c r="E170" s="1420">
        <v>162</v>
      </c>
      <c r="F170" s="1421">
        <v>334.79</v>
      </c>
      <c r="G170" s="1414">
        <v>468.7</v>
      </c>
      <c r="H170" s="1404"/>
      <c r="I170" s="1420">
        <v>162</v>
      </c>
      <c r="J170" s="1421">
        <v>340.68</v>
      </c>
      <c r="K170" s="1414">
        <v>476.96</v>
      </c>
      <c r="L170" s="253"/>
      <c r="M170" s="535">
        <v>162</v>
      </c>
      <c r="N170" s="536">
        <v>346.58</v>
      </c>
      <c r="O170" s="529">
        <v>485.21</v>
      </c>
      <c r="P170" s="253"/>
      <c r="Q170" s="535">
        <v>162</v>
      </c>
      <c r="R170" s="536">
        <v>352.48</v>
      </c>
      <c r="S170" s="529">
        <v>493.47</v>
      </c>
      <c r="T170" s="253"/>
      <c r="U170" s="535">
        <v>162</v>
      </c>
      <c r="V170" s="536">
        <v>358.37</v>
      </c>
      <c r="W170" s="529">
        <v>501.72</v>
      </c>
      <c r="X170" s="253"/>
      <c r="Y170" s="535">
        <v>162</v>
      </c>
      <c r="Z170" s="536">
        <v>364.27</v>
      </c>
      <c r="AA170" s="529">
        <v>509.98</v>
      </c>
      <c r="AB170" s="253"/>
      <c r="AC170" s="535">
        <v>162</v>
      </c>
      <c r="AD170" s="536">
        <v>370.17</v>
      </c>
      <c r="AE170" s="529">
        <v>518.24</v>
      </c>
      <c r="AF170" s="253"/>
      <c r="AG170" s="535">
        <v>162</v>
      </c>
      <c r="AH170" s="536">
        <v>376.06</v>
      </c>
      <c r="AI170" s="529">
        <v>526.49</v>
      </c>
      <c r="AJ170" s="253"/>
      <c r="AK170" s="535">
        <v>162</v>
      </c>
      <c r="AL170" s="536">
        <v>381.96</v>
      </c>
      <c r="AM170" s="529">
        <v>534.75</v>
      </c>
      <c r="AN170" s="253"/>
      <c r="AO170" s="535">
        <v>162</v>
      </c>
      <c r="AP170" s="536">
        <v>387.86</v>
      </c>
      <c r="AQ170" s="529">
        <v>543</v>
      </c>
      <c r="AR170" s="253"/>
      <c r="AS170" s="535">
        <v>162</v>
      </c>
      <c r="AT170" s="536">
        <v>393.76</v>
      </c>
      <c r="AU170" s="529">
        <v>551.26</v>
      </c>
      <c r="AV170" s="253"/>
      <c r="AW170" s="535">
        <v>162</v>
      </c>
      <c r="AX170" s="536">
        <v>399.65</v>
      </c>
      <c r="AY170" s="529">
        <v>559.51</v>
      </c>
      <c r="AZ170" s="253"/>
      <c r="BA170" s="535">
        <v>162</v>
      </c>
      <c r="BB170" s="536">
        <v>405.55</v>
      </c>
      <c r="BC170" s="529">
        <v>567.77</v>
      </c>
      <c r="BD170" s="253"/>
      <c r="BE170" s="535">
        <v>162</v>
      </c>
      <c r="BF170" s="536">
        <v>411.45</v>
      </c>
      <c r="BG170" s="529">
        <v>576.02</v>
      </c>
      <c r="BH170" s="253"/>
      <c r="BI170" s="535">
        <v>162</v>
      </c>
      <c r="BJ170" s="536">
        <v>417.34</v>
      </c>
      <c r="BK170" s="529">
        <v>584.28</v>
      </c>
      <c r="BL170" s="253"/>
    </row>
    <row r="171" spans="1:64" ht="23.25">
      <c r="A171" s="263">
        <v>163</v>
      </c>
      <c r="B171" s="1437">
        <f t="shared" si="4"/>
        <v>360.58</v>
      </c>
      <c r="C171" s="1438">
        <f t="shared" si="5"/>
        <v>504.81</v>
      </c>
      <c r="D171" s="253"/>
      <c r="E171" s="1420">
        <v>163</v>
      </c>
      <c r="F171" s="1421">
        <v>336.85</v>
      </c>
      <c r="G171" s="1414">
        <v>471.58</v>
      </c>
      <c r="H171" s="1404"/>
      <c r="I171" s="1420">
        <v>163</v>
      </c>
      <c r="J171" s="1421">
        <v>342.78</v>
      </c>
      <c r="K171" s="1414">
        <v>479.89</v>
      </c>
      <c r="L171" s="253"/>
      <c r="M171" s="535">
        <v>163</v>
      </c>
      <c r="N171" s="536">
        <v>348.71</v>
      </c>
      <c r="O171" s="529">
        <v>488.2</v>
      </c>
      <c r="P171" s="253"/>
      <c r="Q171" s="535">
        <v>163</v>
      </c>
      <c r="R171" s="536">
        <v>354.65</v>
      </c>
      <c r="S171" s="529">
        <v>496.5</v>
      </c>
      <c r="T171" s="253"/>
      <c r="U171" s="535">
        <v>163</v>
      </c>
      <c r="V171" s="536">
        <v>360.58</v>
      </c>
      <c r="W171" s="529">
        <v>504.81</v>
      </c>
      <c r="X171" s="253"/>
      <c r="Y171" s="535">
        <v>163</v>
      </c>
      <c r="Z171" s="536">
        <v>366.51</v>
      </c>
      <c r="AA171" s="529">
        <v>513.12</v>
      </c>
      <c r="AB171" s="253"/>
      <c r="AC171" s="535">
        <v>163</v>
      </c>
      <c r="AD171" s="536">
        <v>372.44</v>
      </c>
      <c r="AE171" s="529">
        <v>521.41999999999996</v>
      </c>
      <c r="AF171" s="253"/>
      <c r="AG171" s="535">
        <v>163</v>
      </c>
      <c r="AH171" s="536">
        <v>378.38</v>
      </c>
      <c r="AI171" s="529">
        <v>529.73</v>
      </c>
      <c r="AJ171" s="253"/>
      <c r="AK171" s="535">
        <v>163</v>
      </c>
      <c r="AL171" s="536">
        <v>384.31</v>
      </c>
      <c r="AM171" s="529">
        <v>384.31</v>
      </c>
      <c r="AN171" s="253"/>
      <c r="AO171" s="535">
        <v>163</v>
      </c>
      <c r="AP171" s="536">
        <v>390.24</v>
      </c>
      <c r="AQ171" s="529">
        <v>546.34</v>
      </c>
      <c r="AR171" s="253"/>
      <c r="AS171" s="535">
        <v>163</v>
      </c>
      <c r="AT171" s="536">
        <v>396.18</v>
      </c>
      <c r="AU171" s="529">
        <v>554.65</v>
      </c>
      <c r="AV171" s="253"/>
      <c r="AW171" s="535">
        <v>163</v>
      </c>
      <c r="AX171" s="536">
        <v>402.11</v>
      </c>
      <c r="AY171" s="529">
        <v>562.96</v>
      </c>
      <c r="AZ171" s="253"/>
      <c r="BA171" s="535">
        <v>163</v>
      </c>
      <c r="BB171" s="536">
        <v>408.04</v>
      </c>
      <c r="BC171" s="529">
        <v>571.26</v>
      </c>
      <c r="BD171" s="253"/>
      <c r="BE171" s="535">
        <v>163</v>
      </c>
      <c r="BF171" s="536">
        <v>413.98</v>
      </c>
      <c r="BG171" s="529">
        <v>579.57000000000005</v>
      </c>
      <c r="BH171" s="253"/>
      <c r="BI171" s="535">
        <v>163</v>
      </c>
      <c r="BJ171" s="536">
        <v>419.91</v>
      </c>
      <c r="BK171" s="529">
        <v>587.87</v>
      </c>
      <c r="BL171" s="253"/>
    </row>
    <row r="172" spans="1:64" ht="23.25">
      <c r="A172" s="263">
        <v>164</v>
      </c>
      <c r="B172" s="1437">
        <f t="shared" si="4"/>
        <v>362.79</v>
      </c>
      <c r="C172" s="1438">
        <f t="shared" si="5"/>
        <v>507.9</v>
      </c>
      <c r="D172" s="253"/>
      <c r="E172" s="1420">
        <v>164</v>
      </c>
      <c r="F172" s="1421">
        <v>338.91</v>
      </c>
      <c r="G172" s="1414">
        <v>474.47</v>
      </c>
      <c r="H172" s="1404"/>
      <c r="I172" s="1420">
        <v>164</v>
      </c>
      <c r="J172" s="1421">
        <v>344.88</v>
      </c>
      <c r="K172" s="1414">
        <v>482.83</v>
      </c>
      <c r="L172" s="253"/>
      <c r="M172" s="535">
        <v>164</v>
      </c>
      <c r="N172" s="536">
        <v>350.85</v>
      </c>
      <c r="O172" s="529">
        <v>491.19</v>
      </c>
      <c r="P172" s="253"/>
      <c r="Q172" s="535">
        <v>164</v>
      </c>
      <c r="R172" s="536">
        <v>356.82</v>
      </c>
      <c r="S172" s="529">
        <v>499.55</v>
      </c>
      <c r="T172" s="253"/>
      <c r="U172" s="535">
        <v>164</v>
      </c>
      <c r="V172" s="536">
        <v>362.79</v>
      </c>
      <c r="W172" s="529">
        <v>507.9</v>
      </c>
      <c r="X172" s="253"/>
      <c r="Y172" s="535">
        <v>164</v>
      </c>
      <c r="Z172" s="536">
        <v>368.76</v>
      </c>
      <c r="AA172" s="529">
        <v>516.26</v>
      </c>
      <c r="AB172" s="253"/>
      <c r="AC172" s="535">
        <v>164</v>
      </c>
      <c r="AD172" s="536">
        <v>374.73</v>
      </c>
      <c r="AE172" s="529">
        <v>524.62</v>
      </c>
      <c r="AF172" s="253"/>
      <c r="AG172" s="535">
        <v>164</v>
      </c>
      <c r="AH172" s="536">
        <v>380.7</v>
      </c>
      <c r="AI172" s="529">
        <v>532.98</v>
      </c>
      <c r="AJ172" s="253"/>
      <c r="AK172" s="535">
        <v>164</v>
      </c>
      <c r="AL172" s="536">
        <v>386.67</v>
      </c>
      <c r="AM172" s="529">
        <v>541.33000000000004</v>
      </c>
      <c r="AN172" s="253"/>
      <c r="AO172" s="535">
        <v>164</v>
      </c>
      <c r="AP172" s="536">
        <v>392.64</v>
      </c>
      <c r="AQ172" s="529">
        <v>549.69000000000005</v>
      </c>
      <c r="AR172" s="253"/>
      <c r="AS172" s="535">
        <v>164</v>
      </c>
      <c r="AT172" s="536">
        <v>398.61</v>
      </c>
      <c r="AU172" s="529">
        <v>558.04999999999995</v>
      </c>
      <c r="AV172" s="253"/>
      <c r="AW172" s="535">
        <v>164</v>
      </c>
      <c r="AX172" s="536">
        <v>404.57</v>
      </c>
      <c r="AY172" s="529">
        <v>566.4</v>
      </c>
      <c r="AZ172" s="253"/>
      <c r="BA172" s="535">
        <v>164</v>
      </c>
      <c r="BB172" s="536">
        <v>410.54</v>
      </c>
      <c r="BC172" s="529">
        <v>574.76</v>
      </c>
      <c r="BD172" s="253"/>
      <c r="BE172" s="535">
        <v>164</v>
      </c>
      <c r="BF172" s="536">
        <v>416.51</v>
      </c>
      <c r="BG172" s="529">
        <v>583.12</v>
      </c>
      <c r="BH172" s="253"/>
      <c r="BI172" s="535">
        <v>164</v>
      </c>
      <c r="BJ172" s="536">
        <v>422.48</v>
      </c>
      <c r="BK172" s="529">
        <v>591.48</v>
      </c>
      <c r="BL172" s="253"/>
    </row>
    <row r="173" spans="1:64" ht="23.25">
      <c r="A173" s="263">
        <v>165</v>
      </c>
      <c r="B173" s="1437">
        <f t="shared" si="4"/>
        <v>365</v>
      </c>
      <c r="C173" s="1438">
        <f t="shared" si="5"/>
        <v>511</v>
      </c>
      <c r="D173" s="253"/>
      <c r="E173" s="1420">
        <v>165</v>
      </c>
      <c r="F173" s="1421">
        <v>340.98</v>
      </c>
      <c r="G173" s="1414">
        <v>477.37</v>
      </c>
      <c r="H173" s="1404"/>
      <c r="I173" s="1420">
        <v>165</v>
      </c>
      <c r="J173" s="1421">
        <v>346.98</v>
      </c>
      <c r="K173" s="1414">
        <v>485.78</v>
      </c>
      <c r="L173" s="253"/>
      <c r="M173" s="535">
        <v>165</v>
      </c>
      <c r="N173" s="536">
        <v>352.99</v>
      </c>
      <c r="O173" s="529">
        <v>494.19</v>
      </c>
      <c r="P173" s="253"/>
      <c r="Q173" s="535">
        <v>165</v>
      </c>
      <c r="R173" s="536">
        <v>359</v>
      </c>
      <c r="S173" s="529">
        <v>502.6</v>
      </c>
      <c r="T173" s="253"/>
      <c r="U173" s="535">
        <v>165</v>
      </c>
      <c r="V173" s="536">
        <v>365</v>
      </c>
      <c r="W173" s="529">
        <v>511</v>
      </c>
      <c r="X173" s="253"/>
      <c r="Y173" s="535">
        <v>165</v>
      </c>
      <c r="Z173" s="536">
        <v>371.01</v>
      </c>
      <c r="AA173" s="529">
        <v>519.41</v>
      </c>
      <c r="AB173" s="253"/>
      <c r="AC173" s="535">
        <v>165</v>
      </c>
      <c r="AD173" s="536">
        <v>377.01</v>
      </c>
      <c r="AE173" s="529">
        <v>527.82000000000005</v>
      </c>
      <c r="AF173" s="253"/>
      <c r="AG173" s="535">
        <v>165</v>
      </c>
      <c r="AH173" s="536">
        <v>383.02</v>
      </c>
      <c r="AI173" s="529">
        <v>536.23</v>
      </c>
      <c r="AJ173" s="253"/>
      <c r="AK173" s="535">
        <v>165</v>
      </c>
      <c r="AL173" s="536">
        <v>389.03</v>
      </c>
      <c r="AM173" s="529">
        <v>544.64</v>
      </c>
      <c r="AN173" s="253"/>
      <c r="AO173" s="535">
        <v>165</v>
      </c>
      <c r="AP173" s="536">
        <v>395.03</v>
      </c>
      <c r="AQ173" s="529">
        <v>553.04999999999995</v>
      </c>
      <c r="AR173" s="253"/>
      <c r="AS173" s="535">
        <v>165</v>
      </c>
      <c r="AT173" s="536">
        <v>401.04</v>
      </c>
      <c r="AU173" s="529">
        <v>561.45000000000005</v>
      </c>
      <c r="AV173" s="253"/>
      <c r="AW173" s="535">
        <v>165</v>
      </c>
      <c r="AX173" s="536">
        <v>407.04</v>
      </c>
      <c r="AY173" s="529">
        <v>569.86</v>
      </c>
      <c r="AZ173" s="253"/>
      <c r="BA173" s="535">
        <v>165</v>
      </c>
      <c r="BB173" s="536">
        <v>413.05</v>
      </c>
      <c r="BC173" s="529">
        <v>578.27</v>
      </c>
      <c r="BD173" s="253"/>
      <c r="BE173" s="535">
        <v>165</v>
      </c>
      <c r="BF173" s="536">
        <v>419.06</v>
      </c>
      <c r="BG173" s="529">
        <v>586.67999999999995</v>
      </c>
      <c r="BH173" s="253"/>
      <c r="BI173" s="535">
        <v>165</v>
      </c>
      <c r="BJ173" s="536">
        <v>425.06</v>
      </c>
      <c r="BK173" s="529">
        <v>595.09</v>
      </c>
      <c r="BL173" s="253"/>
    </row>
    <row r="174" spans="1:64" ht="23.25">
      <c r="A174" s="263">
        <v>166</v>
      </c>
      <c r="B174" s="1437">
        <f t="shared" si="4"/>
        <v>367.22</v>
      </c>
      <c r="C174" s="1438">
        <f t="shared" si="5"/>
        <v>514.11</v>
      </c>
      <c r="D174" s="253"/>
      <c r="E174" s="1420">
        <v>166</v>
      </c>
      <c r="F174" s="1421">
        <v>343.05</v>
      </c>
      <c r="G174" s="1414">
        <v>480.27</v>
      </c>
      <c r="H174" s="1404"/>
      <c r="I174" s="1420">
        <v>166</v>
      </c>
      <c r="J174" s="1421">
        <v>349.1</v>
      </c>
      <c r="K174" s="1414">
        <v>488.73</v>
      </c>
      <c r="L174" s="253"/>
      <c r="M174" s="535">
        <v>166</v>
      </c>
      <c r="N174" s="536">
        <v>355.14</v>
      </c>
      <c r="O174" s="529">
        <v>497.19</v>
      </c>
      <c r="P174" s="253"/>
      <c r="Q174" s="535">
        <v>166</v>
      </c>
      <c r="R174" s="536">
        <v>361.18</v>
      </c>
      <c r="S174" s="529">
        <v>505.65</v>
      </c>
      <c r="T174" s="253"/>
      <c r="U174" s="535">
        <v>166</v>
      </c>
      <c r="V174" s="536">
        <v>367.22</v>
      </c>
      <c r="W174" s="529">
        <v>514.11</v>
      </c>
      <c r="X174" s="253"/>
      <c r="Y174" s="535">
        <v>166</v>
      </c>
      <c r="Z174" s="536">
        <v>373.27</v>
      </c>
      <c r="AA174" s="529">
        <v>522.57000000000005</v>
      </c>
      <c r="AB174" s="253"/>
      <c r="AC174" s="535">
        <v>166</v>
      </c>
      <c r="AD174" s="536">
        <v>379.31</v>
      </c>
      <c r="AE174" s="529">
        <v>531.03</v>
      </c>
      <c r="AF174" s="253"/>
      <c r="AG174" s="535">
        <v>166</v>
      </c>
      <c r="AH174" s="536">
        <v>385.35</v>
      </c>
      <c r="AI174" s="529">
        <v>539.49</v>
      </c>
      <c r="AJ174" s="253"/>
      <c r="AK174" s="535">
        <v>166</v>
      </c>
      <c r="AL174" s="536">
        <v>391.39</v>
      </c>
      <c r="AM174" s="529">
        <v>547.95000000000005</v>
      </c>
      <c r="AN174" s="253"/>
      <c r="AO174" s="535">
        <v>166</v>
      </c>
      <c r="AP174" s="536">
        <v>397.44</v>
      </c>
      <c r="AQ174" s="529">
        <v>556.41</v>
      </c>
      <c r="AR174" s="253"/>
      <c r="AS174" s="535">
        <v>166</v>
      </c>
      <c r="AT174" s="536">
        <v>403.48</v>
      </c>
      <c r="AU174" s="529">
        <v>564.87</v>
      </c>
      <c r="AV174" s="253"/>
      <c r="AW174" s="535">
        <v>166</v>
      </c>
      <c r="AX174" s="536">
        <v>409.52</v>
      </c>
      <c r="AY174" s="529">
        <v>573.33000000000004</v>
      </c>
      <c r="AZ174" s="253"/>
      <c r="BA174" s="535">
        <v>166</v>
      </c>
      <c r="BB174" s="536">
        <v>415.56</v>
      </c>
      <c r="BC174" s="529">
        <v>581.79</v>
      </c>
      <c r="BD174" s="253"/>
      <c r="BE174" s="535">
        <v>166</v>
      </c>
      <c r="BF174" s="536">
        <v>421.6</v>
      </c>
      <c r="BG174" s="529">
        <v>590.25</v>
      </c>
      <c r="BH174" s="253"/>
      <c r="BI174" s="535">
        <v>166</v>
      </c>
      <c r="BJ174" s="536">
        <v>427.65</v>
      </c>
      <c r="BK174" s="529">
        <v>598.71</v>
      </c>
      <c r="BL174" s="253"/>
    </row>
    <row r="175" spans="1:64" ht="23.25">
      <c r="A175" s="263">
        <v>167</v>
      </c>
      <c r="B175" s="1437">
        <f t="shared" si="4"/>
        <v>369.45</v>
      </c>
      <c r="C175" s="1438">
        <f t="shared" si="5"/>
        <v>517.23</v>
      </c>
      <c r="D175" s="253"/>
      <c r="E175" s="1420">
        <v>167</v>
      </c>
      <c r="F175" s="1421">
        <v>345.13</v>
      </c>
      <c r="G175" s="1414">
        <v>483.19</v>
      </c>
      <c r="H175" s="1404"/>
      <c r="I175" s="1420">
        <v>167</v>
      </c>
      <c r="J175" s="1421">
        <v>351.21</v>
      </c>
      <c r="K175" s="1414">
        <v>491.7</v>
      </c>
      <c r="L175" s="253"/>
      <c r="M175" s="535">
        <v>167</v>
      </c>
      <c r="N175" s="536">
        <v>357.29</v>
      </c>
      <c r="O175" s="529">
        <v>500.21</v>
      </c>
      <c r="P175" s="253"/>
      <c r="Q175" s="535">
        <v>167</v>
      </c>
      <c r="R175" s="536">
        <v>363.37</v>
      </c>
      <c r="S175" s="529">
        <v>508.72</v>
      </c>
      <c r="T175" s="253"/>
      <c r="U175" s="535">
        <v>167</v>
      </c>
      <c r="V175" s="536">
        <v>369.45</v>
      </c>
      <c r="W175" s="529">
        <v>517.23</v>
      </c>
      <c r="X175" s="253"/>
      <c r="Y175" s="535">
        <v>167</v>
      </c>
      <c r="Z175" s="536">
        <v>375.53</v>
      </c>
      <c r="AA175" s="529">
        <v>525.74</v>
      </c>
      <c r="AB175" s="253"/>
      <c r="AC175" s="535">
        <v>167</v>
      </c>
      <c r="AD175" s="536">
        <v>381.61</v>
      </c>
      <c r="AE175" s="529">
        <v>534.25</v>
      </c>
      <c r="AF175" s="253"/>
      <c r="AG175" s="535">
        <v>167</v>
      </c>
      <c r="AH175" s="536">
        <v>387.69</v>
      </c>
      <c r="AI175" s="529">
        <v>542.76</v>
      </c>
      <c r="AJ175" s="253"/>
      <c r="AK175" s="535">
        <v>167</v>
      </c>
      <c r="AL175" s="536">
        <v>393.76</v>
      </c>
      <c r="AM175" s="529">
        <v>551.27</v>
      </c>
      <c r="AN175" s="253"/>
      <c r="AO175" s="535">
        <v>167</v>
      </c>
      <c r="AP175" s="536">
        <v>399.84</v>
      </c>
      <c r="AQ175" s="529">
        <v>559.78</v>
      </c>
      <c r="AR175" s="253"/>
      <c r="AS175" s="535">
        <v>167</v>
      </c>
      <c r="AT175" s="536">
        <v>405.92</v>
      </c>
      <c r="AU175" s="529">
        <v>568.29</v>
      </c>
      <c r="AV175" s="253"/>
      <c r="AW175" s="535">
        <v>167</v>
      </c>
      <c r="AX175" s="536">
        <v>412</v>
      </c>
      <c r="AY175" s="529">
        <v>576.79999999999995</v>
      </c>
      <c r="AZ175" s="253"/>
      <c r="BA175" s="535">
        <v>167</v>
      </c>
      <c r="BB175" s="536">
        <v>418.08</v>
      </c>
      <c r="BC175" s="529">
        <v>585.30999999999995</v>
      </c>
      <c r="BD175" s="253"/>
      <c r="BE175" s="535">
        <v>167</v>
      </c>
      <c r="BF175" s="536">
        <v>424.16</v>
      </c>
      <c r="BG175" s="529">
        <v>593.82000000000005</v>
      </c>
      <c r="BH175" s="253"/>
      <c r="BI175" s="535">
        <v>167</v>
      </c>
      <c r="BJ175" s="536">
        <v>430.24</v>
      </c>
      <c r="BK175" s="529">
        <v>602.24</v>
      </c>
      <c r="BL175" s="253"/>
    </row>
    <row r="176" spans="1:64" ht="23.25">
      <c r="A176" s="263">
        <v>168</v>
      </c>
      <c r="B176" s="1437">
        <f t="shared" si="4"/>
        <v>371.68</v>
      </c>
      <c r="C176" s="1438">
        <f t="shared" si="5"/>
        <v>520.35</v>
      </c>
      <c r="D176" s="253"/>
      <c r="E176" s="1420">
        <v>168</v>
      </c>
      <c r="F176" s="1421">
        <v>347.22</v>
      </c>
      <c r="G176" s="1414">
        <v>486.11</v>
      </c>
      <c r="H176" s="1404"/>
      <c r="I176" s="1420">
        <v>168</v>
      </c>
      <c r="J176" s="1421">
        <v>353.34</v>
      </c>
      <c r="K176" s="1414">
        <v>494.67</v>
      </c>
      <c r="L176" s="253"/>
      <c r="M176" s="535">
        <v>168</v>
      </c>
      <c r="N176" s="536">
        <v>359.45</v>
      </c>
      <c r="O176" s="529">
        <v>503.23</v>
      </c>
      <c r="P176" s="253"/>
      <c r="Q176" s="535">
        <v>168</v>
      </c>
      <c r="R176" s="536">
        <v>365.57</v>
      </c>
      <c r="S176" s="529">
        <v>511.79</v>
      </c>
      <c r="T176" s="253"/>
      <c r="U176" s="535">
        <v>168</v>
      </c>
      <c r="V176" s="536">
        <v>371.68</v>
      </c>
      <c r="W176" s="529">
        <v>520.35</v>
      </c>
      <c r="X176" s="253"/>
      <c r="Y176" s="535">
        <v>168</v>
      </c>
      <c r="Z176" s="536">
        <v>377.8</v>
      </c>
      <c r="AA176" s="529">
        <v>528.91999999999996</v>
      </c>
      <c r="AB176" s="253"/>
      <c r="AC176" s="535">
        <v>168</v>
      </c>
      <c r="AD176" s="536">
        <v>383.91</v>
      </c>
      <c r="AE176" s="529">
        <v>537.48</v>
      </c>
      <c r="AF176" s="253"/>
      <c r="AG176" s="535">
        <v>168</v>
      </c>
      <c r="AH176" s="536">
        <v>390.03</v>
      </c>
      <c r="AI176" s="529">
        <v>546.04</v>
      </c>
      <c r="AJ176" s="253"/>
      <c r="AK176" s="535">
        <v>168</v>
      </c>
      <c r="AL176" s="536">
        <v>396.14</v>
      </c>
      <c r="AM176" s="529">
        <v>554.6</v>
      </c>
      <c r="AN176" s="253"/>
      <c r="AO176" s="535">
        <v>168</v>
      </c>
      <c r="AP176" s="536">
        <v>402.26</v>
      </c>
      <c r="AQ176" s="529">
        <v>563.16</v>
      </c>
      <c r="AR176" s="253"/>
      <c r="AS176" s="535">
        <v>168</v>
      </c>
      <c r="AT176" s="536">
        <v>408.37</v>
      </c>
      <c r="AU176" s="529">
        <v>571.72</v>
      </c>
      <c r="AV176" s="253"/>
      <c r="AW176" s="535">
        <v>168</v>
      </c>
      <c r="AX176" s="536">
        <v>414.49</v>
      </c>
      <c r="AY176" s="529">
        <v>580.28</v>
      </c>
      <c r="AZ176" s="253"/>
      <c r="BA176" s="535">
        <v>168</v>
      </c>
      <c r="BB176" s="536">
        <v>420.6</v>
      </c>
      <c r="BC176" s="529">
        <v>588.84</v>
      </c>
      <c r="BD176" s="253"/>
      <c r="BE176" s="535">
        <v>168</v>
      </c>
      <c r="BF176" s="536">
        <v>426.72</v>
      </c>
      <c r="BG176" s="529">
        <v>597.41</v>
      </c>
      <c r="BH176" s="253"/>
      <c r="BI176" s="535">
        <v>168</v>
      </c>
      <c r="BJ176" s="536">
        <v>432.83</v>
      </c>
      <c r="BK176" s="529">
        <v>605.97</v>
      </c>
      <c r="BL176" s="253"/>
    </row>
    <row r="177" spans="1:64" ht="23.25">
      <c r="A177" s="263">
        <v>169</v>
      </c>
      <c r="B177" s="1437">
        <f t="shared" si="4"/>
        <v>373.44</v>
      </c>
      <c r="C177" s="1438">
        <f t="shared" si="5"/>
        <v>522.82000000000005</v>
      </c>
      <c r="D177" s="253"/>
      <c r="E177" s="1420">
        <v>169</v>
      </c>
      <c r="F177" s="1421">
        <v>348.84</v>
      </c>
      <c r="G177" s="1414">
        <v>488.37</v>
      </c>
      <c r="H177" s="1404"/>
      <c r="I177" s="1420">
        <v>169</v>
      </c>
      <c r="J177" s="1421">
        <v>354.99</v>
      </c>
      <c r="K177" s="1414">
        <v>496.98</v>
      </c>
      <c r="L177" s="253"/>
      <c r="M177" s="535">
        <v>169</v>
      </c>
      <c r="N177" s="536">
        <v>361.14</v>
      </c>
      <c r="O177" s="529">
        <v>505.6</v>
      </c>
      <c r="P177" s="253"/>
      <c r="Q177" s="535">
        <v>169</v>
      </c>
      <c r="R177" s="536">
        <v>367.29</v>
      </c>
      <c r="S177" s="529">
        <v>514.21</v>
      </c>
      <c r="T177" s="253"/>
      <c r="U177" s="535">
        <v>169</v>
      </c>
      <c r="V177" s="536">
        <v>373.44</v>
      </c>
      <c r="W177" s="529">
        <v>522.82000000000005</v>
      </c>
      <c r="X177" s="253"/>
      <c r="Y177" s="535">
        <v>169</v>
      </c>
      <c r="Z177" s="536">
        <v>379.59</v>
      </c>
      <c r="AA177" s="529">
        <v>531.42999999999995</v>
      </c>
      <c r="AB177" s="253"/>
      <c r="AC177" s="535">
        <v>169</v>
      </c>
      <c r="AD177" s="536">
        <v>385.75</v>
      </c>
      <c r="AE177" s="529">
        <v>540.04999999999995</v>
      </c>
      <c r="AF177" s="253"/>
      <c r="AG177" s="535">
        <v>169</v>
      </c>
      <c r="AH177" s="536">
        <v>391.9</v>
      </c>
      <c r="AI177" s="529">
        <v>548.66</v>
      </c>
      <c r="AJ177" s="253"/>
      <c r="AK177" s="535">
        <v>169</v>
      </c>
      <c r="AL177" s="536">
        <v>398.05</v>
      </c>
      <c r="AM177" s="529">
        <v>557.27</v>
      </c>
      <c r="AN177" s="253"/>
      <c r="AO177" s="535">
        <v>169</v>
      </c>
      <c r="AP177" s="536">
        <v>404.2</v>
      </c>
      <c r="AQ177" s="529">
        <v>565.88</v>
      </c>
      <c r="AR177" s="253"/>
      <c r="AS177" s="535">
        <v>169</v>
      </c>
      <c r="AT177" s="536">
        <v>410.35</v>
      </c>
      <c r="AU177" s="529">
        <v>574.49</v>
      </c>
      <c r="AV177" s="253"/>
      <c r="AW177" s="535">
        <v>169</v>
      </c>
      <c r="AX177" s="536">
        <v>416.5</v>
      </c>
      <c r="AY177" s="529">
        <v>583.11</v>
      </c>
      <c r="AZ177" s="253"/>
      <c r="BA177" s="535">
        <v>169</v>
      </c>
      <c r="BB177" s="536">
        <v>422.66</v>
      </c>
      <c r="BC177" s="529">
        <v>591.72</v>
      </c>
      <c r="BD177" s="253"/>
      <c r="BE177" s="535">
        <v>169</v>
      </c>
      <c r="BF177" s="536">
        <v>428.81</v>
      </c>
      <c r="BG177" s="529">
        <v>600.33000000000004</v>
      </c>
      <c r="BH177" s="253"/>
      <c r="BI177" s="535">
        <v>169</v>
      </c>
      <c r="BJ177" s="536">
        <v>434.96</v>
      </c>
      <c r="BK177" s="529">
        <v>608.94000000000005</v>
      </c>
      <c r="BL177" s="253"/>
    </row>
    <row r="178" spans="1:64" ht="23.25">
      <c r="A178" s="263">
        <v>170</v>
      </c>
      <c r="B178" s="1437">
        <f t="shared" si="4"/>
        <v>375.68</v>
      </c>
      <c r="C178" s="1438">
        <f t="shared" si="5"/>
        <v>525.95000000000005</v>
      </c>
      <c r="D178" s="253"/>
      <c r="E178" s="1420">
        <v>170</v>
      </c>
      <c r="F178" s="1421">
        <v>350.93</v>
      </c>
      <c r="G178" s="1414">
        <v>491.3</v>
      </c>
      <c r="H178" s="1404"/>
      <c r="I178" s="1420">
        <v>170</v>
      </c>
      <c r="J178" s="1421">
        <v>357.12</v>
      </c>
      <c r="K178" s="1414">
        <v>499.96</v>
      </c>
      <c r="L178" s="253"/>
      <c r="M178" s="535">
        <v>170</v>
      </c>
      <c r="N178" s="536">
        <v>363.31</v>
      </c>
      <c r="O178" s="529">
        <v>508.63</v>
      </c>
      <c r="P178" s="253"/>
      <c r="Q178" s="535">
        <v>170</v>
      </c>
      <c r="R178" s="536">
        <v>369.49</v>
      </c>
      <c r="S178" s="529">
        <v>517.29</v>
      </c>
      <c r="T178" s="253"/>
      <c r="U178" s="535">
        <v>170</v>
      </c>
      <c r="V178" s="536">
        <v>375.68</v>
      </c>
      <c r="W178" s="529">
        <v>525.95000000000005</v>
      </c>
      <c r="X178" s="253"/>
      <c r="Y178" s="535">
        <v>170</v>
      </c>
      <c r="Z178" s="536">
        <v>381.87</v>
      </c>
      <c r="AA178" s="529">
        <v>534.62</v>
      </c>
      <c r="AB178" s="253"/>
      <c r="AC178" s="535">
        <v>170</v>
      </c>
      <c r="AD178" s="536">
        <v>388.06</v>
      </c>
      <c r="AE178" s="529">
        <v>543.28</v>
      </c>
      <c r="AF178" s="253"/>
      <c r="AG178" s="535">
        <v>170</v>
      </c>
      <c r="AH178" s="536">
        <v>394.25</v>
      </c>
      <c r="AI178" s="529">
        <v>551.94000000000005</v>
      </c>
      <c r="AJ178" s="253"/>
      <c r="AK178" s="535">
        <v>170</v>
      </c>
      <c r="AL178" s="536">
        <v>400.43</v>
      </c>
      <c r="AM178" s="529">
        <v>560.61</v>
      </c>
      <c r="AN178" s="253"/>
      <c r="AO178" s="535">
        <v>170</v>
      </c>
      <c r="AP178" s="536">
        <v>406.62</v>
      </c>
      <c r="AQ178" s="529">
        <v>569.27</v>
      </c>
      <c r="AR178" s="253"/>
      <c r="AS178" s="535">
        <v>170</v>
      </c>
      <c r="AT178" s="536">
        <v>412.81</v>
      </c>
      <c r="AU178" s="529">
        <v>577.92999999999995</v>
      </c>
      <c r="AV178" s="253"/>
      <c r="AW178" s="535">
        <v>170</v>
      </c>
      <c r="AX178" s="536">
        <v>419</v>
      </c>
      <c r="AY178" s="529">
        <v>586.6</v>
      </c>
      <c r="AZ178" s="253"/>
      <c r="BA178" s="535">
        <v>170</v>
      </c>
      <c r="BB178" s="536">
        <v>425.19</v>
      </c>
      <c r="BC178" s="529">
        <v>595.26</v>
      </c>
      <c r="BD178" s="253"/>
      <c r="BE178" s="535">
        <v>170</v>
      </c>
      <c r="BF178" s="536">
        <v>431.37</v>
      </c>
      <c r="BG178" s="529">
        <v>603.91999999999996</v>
      </c>
      <c r="BH178" s="253"/>
      <c r="BI178" s="535">
        <v>170</v>
      </c>
      <c r="BJ178" s="536">
        <v>437.56</v>
      </c>
      <c r="BK178" s="529">
        <v>612.59</v>
      </c>
      <c r="BL178" s="253"/>
    </row>
    <row r="179" spans="1:64" ht="23.25">
      <c r="A179" s="263">
        <v>171</v>
      </c>
      <c r="B179" s="1437">
        <f t="shared" si="4"/>
        <v>377.93</v>
      </c>
      <c r="C179" s="1438">
        <f t="shared" si="5"/>
        <v>529.1</v>
      </c>
      <c r="D179" s="253"/>
      <c r="E179" s="1420">
        <v>171</v>
      </c>
      <c r="F179" s="1421">
        <v>353.03</v>
      </c>
      <c r="G179" s="1414">
        <v>494.24</v>
      </c>
      <c r="H179" s="1404"/>
      <c r="I179" s="1420">
        <v>171</v>
      </c>
      <c r="J179" s="1421">
        <v>359.25</v>
      </c>
      <c r="K179" s="1414">
        <v>502.95</v>
      </c>
      <c r="L179" s="253"/>
      <c r="M179" s="535">
        <v>171</v>
      </c>
      <c r="N179" s="536">
        <v>365.48</v>
      </c>
      <c r="O179" s="529">
        <v>511.67</v>
      </c>
      <c r="P179" s="253"/>
      <c r="Q179" s="535">
        <v>171</v>
      </c>
      <c r="R179" s="536">
        <v>371.7</v>
      </c>
      <c r="S179" s="529">
        <v>520.38</v>
      </c>
      <c r="T179" s="253"/>
      <c r="U179" s="535">
        <v>171</v>
      </c>
      <c r="V179" s="536">
        <v>377.93</v>
      </c>
      <c r="W179" s="529">
        <v>529.1</v>
      </c>
      <c r="X179" s="253"/>
      <c r="Y179" s="535">
        <v>171</v>
      </c>
      <c r="Z179" s="536">
        <v>384.15</v>
      </c>
      <c r="AA179" s="529">
        <v>537.80999999999995</v>
      </c>
      <c r="AB179" s="253"/>
      <c r="AC179" s="535">
        <v>171</v>
      </c>
      <c r="AD179" s="536">
        <v>390.37</v>
      </c>
      <c r="AE179" s="529">
        <v>546.52</v>
      </c>
      <c r="AF179" s="253"/>
      <c r="AG179" s="535">
        <v>171</v>
      </c>
      <c r="AH179" s="536">
        <v>398.96</v>
      </c>
      <c r="AI179" s="529">
        <v>558.54</v>
      </c>
      <c r="AJ179" s="253"/>
      <c r="AK179" s="535">
        <v>171</v>
      </c>
      <c r="AL179" s="536">
        <v>402.82</v>
      </c>
      <c r="AM179" s="529">
        <v>563.95000000000005</v>
      </c>
      <c r="AN179" s="253"/>
      <c r="AO179" s="535">
        <v>171</v>
      </c>
      <c r="AP179" s="536">
        <v>409.05</v>
      </c>
      <c r="AQ179" s="529">
        <v>572.66999999999996</v>
      </c>
      <c r="AR179" s="253"/>
      <c r="AS179" s="535">
        <v>171</v>
      </c>
      <c r="AT179" s="536">
        <v>415.27</v>
      </c>
      <c r="AU179" s="529">
        <v>581.38</v>
      </c>
      <c r="AV179" s="253"/>
      <c r="AW179" s="535">
        <v>171</v>
      </c>
      <c r="AX179" s="536">
        <v>421.5</v>
      </c>
      <c r="AY179" s="529">
        <v>590.09</v>
      </c>
      <c r="AZ179" s="253"/>
      <c r="BA179" s="535">
        <v>171</v>
      </c>
      <c r="BB179" s="536">
        <v>427.72</v>
      </c>
      <c r="BC179" s="529">
        <v>598.80999999999995</v>
      </c>
      <c r="BD179" s="253"/>
      <c r="BE179" s="535">
        <v>171</v>
      </c>
      <c r="BF179" s="536">
        <v>433.94</v>
      </c>
      <c r="BG179" s="529">
        <v>607.52</v>
      </c>
      <c r="BH179" s="253"/>
      <c r="BI179" s="535">
        <v>171</v>
      </c>
      <c r="BJ179" s="536">
        <v>440.17</v>
      </c>
      <c r="BK179" s="529">
        <v>616.24</v>
      </c>
      <c r="BL179" s="253"/>
    </row>
    <row r="180" spans="1:64" ht="23.25">
      <c r="A180" s="263">
        <v>172</v>
      </c>
      <c r="B180" s="1437">
        <f t="shared" si="4"/>
        <v>380.18</v>
      </c>
      <c r="C180" s="1438">
        <f t="shared" si="5"/>
        <v>532.25</v>
      </c>
      <c r="D180" s="253"/>
      <c r="E180" s="1420">
        <v>172</v>
      </c>
      <c r="F180" s="1421">
        <v>355.13</v>
      </c>
      <c r="G180" s="1414">
        <v>497.18</v>
      </c>
      <c r="H180" s="1404"/>
      <c r="I180" s="1420">
        <v>172</v>
      </c>
      <c r="J180" s="1421">
        <v>361.39</v>
      </c>
      <c r="K180" s="1414">
        <v>505.95</v>
      </c>
      <c r="L180" s="253"/>
      <c r="M180" s="535">
        <v>172</v>
      </c>
      <c r="N180" s="536">
        <v>367.65</v>
      </c>
      <c r="O180" s="529">
        <v>514.71</v>
      </c>
      <c r="P180" s="253"/>
      <c r="Q180" s="535">
        <v>172</v>
      </c>
      <c r="R180" s="536">
        <v>373.91</v>
      </c>
      <c r="S180" s="529">
        <v>523.48</v>
      </c>
      <c r="T180" s="253"/>
      <c r="U180" s="535">
        <v>172</v>
      </c>
      <c r="V180" s="536">
        <v>380.18</v>
      </c>
      <c r="W180" s="529">
        <v>532.25</v>
      </c>
      <c r="X180" s="253"/>
      <c r="Y180" s="535">
        <v>172</v>
      </c>
      <c r="Z180" s="536">
        <v>386.44</v>
      </c>
      <c r="AA180" s="529">
        <v>541.01</v>
      </c>
      <c r="AB180" s="253"/>
      <c r="AC180" s="535">
        <v>172</v>
      </c>
      <c r="AD180" s="536">
        <v>392.7</v>
      </c>
      <c r="AE180" s="529">
        <v>549.78</v>
      </c>
      <c r="AF180" s="253"/>
      <c r="AG180" s="535">
        <v>172</v>
      </c>
      <c r="AH180" s="536">
        <v>398.96</v>
      </c>
      <c r="AI180" s="529">
        <v>558.54</v>
      </c>
      <c r="AJ180" s="253"/>
      <c r="AK180" s="535">
        <v>172</v>
      </c>
      <c r="AL180" s="536">
        <v>405.22</v>
      </c>
      <c r="AM180" s="529">
        <v>567.30999999999995</v>
      </c>
      <c r="AN180" s="253"/>
      <c r="AO180" s="535">
        <v>172</v>
      </c>
      <c r="AP180" s="536">
        <v>411.48</v>
      </c>
      <c r="AQ180" s="529">
        <v>576.07000000000005</v>
      </c>
      <c r="AR180" s="253"/>
      <c r="AS180" s="535">
        <v>172</v>
      </c>
      <c r="AT180" s="536">
        <v>417.74</v>
      </c>
      <c r="AU180" s="529">
        <v>584.84</v>
      </c>
      <c r="AV180" s="253"/>
      <c r="AW180" s="535">
        <v>172</v>
      </c>
      <c r="AX180" s="536">
        <v>424</v>
      </c>
      <c r="AY180" s="529">
        <v>593.6</v>
      </c>
      <c r="AZ180" s="253"/>
      <c r="BA180" s="535">
        <v>172</v>
      </c>
      <c r="BB180" s="536">
        <v>430.26</v>
      </c>
      <c r="BC180" s="529">
        <v>602.37</v>
      </c>
      <c r="BD180" s="253"/>
      <c r="BE180" s="535">
        <v>172</v>
      </c>
      <c r="BF180" s="536">
        <v>436.52</v>
      </c>
      <c r="BG180" s="529">
        <v>611.13</v>
      </c>
      <c r="BH180" s="253"/>
      <c r="BI180" s="535">
        <v>172</v>
      </c>
      <c r="BJ180" s="536">
        <v>442.78</v>
      </c>
      <c r="BK180" s="529">
        <v>619.9</v>
      </c>
      <c r="BL180" s="253"/>
    </row>
    <row r="181" spans="1:64" ht="23.25">
      <c r="A181" s="263">
        <v>173</v>
      </c>
      <c r="B181" s="1437">
        <f t="shared" si="4"/>
        <v>382.43</v>
      </c>
      <c r="C181" s="1438">
        <f t="shared" si="5"/>
        <v>535.4</v>
      </c>
      <c r="D181" s="253"/>
      <c r="E181" s="1420">
        <v>173</v>
      </c>
      <c r="F181" s="1421">
        <v>357.24</v>
      </c>
      <c r="G181" s="1414">
        <v>500.14</v>
      </c>
      <c r="H181" s="1404"/>
      <c r="I181" s="1420">
        <v>173</v>
      </c>
      <c r="J181" s="1421">
        <v>363.54</v>
      </c>
      <c r="K181" s="1414">
        <v>508.96</v>
      </c>
      <c r="L181" s="253"/>
      <c r="M181" s="535">
        <v>173</v>
      </c>
      <c r="N181" s="536">
        <v>369.84</v>
      </c>
      <c r="O181" s="529">
        <v>517.77</v>
      </c>
      <c r="P181" s="253"/>
      <c r="Q181" s="535">
        <v>173</v>
      </c>
      <c r="R181" s="536">
        <v>376.13</v>
      </c>
      <c r="S181" s="529">
        <v>526.59</v>
      </c>
      <c r="T181" s="253"/>
      <c r="U181" s="535">
        <v>173</v>
      </c>
      <c r="V181" s="536">
        <v>382.43</v>
      </c>
      <c r="W181" s="529">
        <v>535.4</v>
      </c>
      <c r="X181" s="253"/>
      <c r="Y181" s="535">
        <v>173</v>
      </c>
      <c r="Z181" s="536">
        <v>388.73</v>
      </c>
      <c r="AA181" s="529">
        <v>544.22</v>
      </c>
      <c r="AB181" s="253"/>
      <c r="AC181" s="535">
        <v>173</v>
      </c>
      <c r="AD181" s="536">
        <v>395.03</v>
      </c>
      <c r="AE181" s="529">
        <v>553.04</v>
      </c>
      <c r="AF181" s="253"/>
      <c r="AG181" s="535">
        <v>173</v>
      </c>
      <c r="AH181" s="536">
        <v>401.32</v>
      </c>
      <c r="AI181" s="529">
        <v>561.85</v>
      </c>
      <c r="AJ181" s="253"/>
      <c r="AK181" s="535">
        <v>173</v>
      </c>
      <c r="AL181" s="536">
        <v>407.62</v>
      </c>
      <c r="AM181" s="529">
        <v>570.66999999999996</v>
      </c>
      <c r="AN181" s="253"/>
      <c r="AO181" s="535">
        <v>173</v>
      </c>
      <c r="AP181" s="536">
        <v>413.92</v>
      </c>
      <c r="AQ181" s="529">
        <v>579.48</v>
      </c>
      <c r="AR181" s="253"/>
      <c r="AS181" s="535">
        <v>173</v>
      </c>
      <c r="AT181" s="536">
        <v>420.21</v>
      </c>
      <c r="AU181" s="529">
        <v>588.29999999999995</v>
      </c>
      <c r="AV181" s="253"/>
      <c r="AW181" s="535">
        <v>173</v>
      </c>
      <c r="AX181" s="536">
        <v>426.51</v>
      </c>
      <c r="AY181" s="529">
        <v>597.12</v>
      </c>
      <c r="AZ181" s="253"/>
      <c r="BA181" s="535">
        <v>173</v>
      </c>
      <c r="BB181" s="536">
        <v>432.81</v>
      </c>
      <c r="BC181" s="529">
        <v>605.92999999999995</v>
      </c>
      <c r="BD181" s="253"/>
      <c r="BE181" s="535">
        <v>173</v>
      </c>
      <c r="BF181" s="536">
        <v>439.11</v>
      </c>
      <c r="BG181" s="529">
        <v>614.75</v>
      </c>
      <c r="BH181" s="253"/>
      <c r="BI181" s="535">
        <v>173</v>
      </c>
      <c r="BJ181" s="536">
        <v>445.4</v>
      </c>
      <c r="BK181" s="529">
        <v>625.55999999999995</v>
      </c>
      <c r="BL181" s="253"/>
    </row>
    <row r="182" spans="1:64" ht="23.25">
      <c r="A182" s="264">
        <v>174</v>
      </c>
      <c r="B182" s="1437">
        <f t="shared" si="4"/>
        <v>384.69</v>
      </c>
      <c r="C182" s="1438">
        <f t="shared" si="5"/>
        <v>538.57000000000005</v>
      </c>
      <c r="D182" s="253"/>
      <c r="E182" s="1415">
        <v>174</v>
      </c>
      <c r="F182" s="1423">
        <v>359.36</v>
      </c>
      <c r="G182" s="1417">
        <v>503.1</v>
      </c>
      <c r="H182" s="1404"/>
      <c r="I182" s="1415">
        <v>174</v>
      </c>
      <c r="J182" s="1423">
        <v>365.69</v>
      </c>
      <c r="K182" s="1417">
        <v>511.97</v>
      </c>
      <c r="L182" s="253"/>
      <c r="M182" s="530">
        <v>174</v>
      </c>
      <c r="N182" s="538">
        <v>372.03</v>
      </c>
      <c r="O182" s="532">
        <v>250.84</v>
      </c>
      <c r="P182" s="253"/>
      <c r="Q182" s="530">
        <v>174</v>
      </c>
      <c r="R182" s="538">
        <v>378.36</v>
      </c>
      <c r="S182" s="532">
        <v>529.70000000000005</v>
      </c>
      <c r="T182" s="253"/>
      <c r="U182" s="530">
        <v>174</v>
      </c>
      <c r="V182" s="538">
        <v>384.69</v>
      </c>
      <c r="W182" s="532">
        <v>538.57000000000005</v>
      </c>
      <c r="X182" s="253"/>
      <c r="Y182" s="530">
        <v>174</v>
      </c>
      <c r="Z182" s="538">
        <v>391.03</v>
      </c>
      <c r="AA182" s="532">
        <v>547.44000000000005</v>
      </c>
      <c r="AB182" s="253"/>
      <c r="AC182" s="530">
        <v>174</v>
      </c>
      <c r="AD182" s="538">
        <v>397.36</v>
      </c>
      <c r="AE182" s="532">
        <v>556.30999999999995</v>
      </c>
      <c r="AF182" s="253"/>
      <c r="AG182" s="530">
        <v>174</v>
      </c>
      <c r="AH182" s="538">
        <v>403.69</v>
      </c>
      <c r="AI182" s="532">
        <v>565.16999999999996</v>
      </c>
      <c r="AJ182" s="253"/>
      <c r="AK182" s="530">
        <v>174</v>
      </c>
      <c r="AL182" s="538">
        <v>410.03</v>
      </c>
      <c r="AM182" s="532">
        <v>574.04</v>
      </c>
      <c r="AN182" s="253"/>
      <c r="AO182" s="530">
        <v>174</v>
      </c>
      <c r="AP182" s="538">
        <v>416.36</v>
      </c>
      <c r="AQ182" s="532">
        <v>582.91</v>
      </c>
      <c r="AR182" s="253"/>
      <c r="AS182" s="530">
        <v>174</v>
      </c>
      <c r="AT182" s="538">
        <v>422.7</v>
      </c>
      <c r="AU182" s="532">
        <v>591.77</v>
      </c>
      <c r="AV182" s="253"/>
      <c r="AW182" s="530">
        <v>174</v>
      </c>
      <c r="AX182" s="538">
        <v>429.03</v>
      </c>
      <c r="AY182" s="532">
        <v>600.64</v>
      </c>
      <c r="AZ182" s="253"/>
      <c r="BA182" s="530">
        <v>174</v>
      </c>
      <c r="BB182" s="538">
        <v>435.36</v>
      </c>
      <c r="BC182" s="532">
        <v>609.51</v>
      </c>
      <c r="BD182" s="253"/>
      <c r="BE182" s="530">
        <v>174</v>
      </c>
      <c r="BF182" s="538">
        <v>441.7</v>
      </c>
      <c r="BG182" s="532">
        <v>618.38</v>
      </c>
      <c r="BH182" s="253"/>
      <c r="BI182" s="530">
        <v>174</v>
      </c>
      <c r="BJ182" s="538">
        <v>448.03</v>
      </c>
      <c r="BK182" s="532">
        <v>627.24</v>
      </c>
      <c r="BL182" s="253"/>
    </row>
    <row r="183" spans="1:64" ht="23.25">
      <c r="A183" s="261">
        <v>175</v>
      </c>
      <c r="B183" s="1437">
        <f t="shared" si="4"/>
        <v>386.96</v>
      </c>
      <c r="C183" s="1438">
        <f t="shared" si="5"/>
        <v>541.75</v>
      </c>
      <c r="D183" s="253"/>
      <c r="E183" s="1418">
        <v>175</v>
      </c>
      <c r="F183" s="1414">
        <v>361.48</v>
      </c>
      <c r="G183" s="1412">
        <v>506.08</v>
      </c>
      <c r="H183" s="1404"/>
      <c r="I183" s="1418">
        <v>175</v>
      </c>
      <c r="J183" s="1414">
        <v>367.85</v>
      </c>
      <c r="K183" s="1412">
        <v>514.99</v>
      </c>
      <c r="L183" s="253"/>
      <c r="M183" s="533">
        <v>175</v>
      </c>
      <c r="N183" s="529">
        <v>374.22</v>
      </c>
      <c r="O183" s="527">
        <v>523.91</v>
      </c>
      <c r="P183" s="253"/>
      <c r="Q183" s="533">
        <v>175</v>
      </c>
      <c r="R183" s="529">
        <v>380.59</v>
      </c>
      <c r="S183" s="527">
        <v>532.83000000000004</v>
      </c>
      <c r="T183" s="253"/>
      <c r="U183" s="533">
        <v>175</v>
      </c>
      <c r="V183" s="529">
        <v>386.96</v>
      </c>
      <c r="W183" s="527">
        <v>541.75</v>
      </c>
      <c r="X183" s="253"/>
      <c r="Y183" s="533">
        <v>175</v>
      </c>
      <c r="Z183" s="529">
        <v>393.33</v>
      </c>
      <c r="AA183" s="527">
        <v>550.66999999999996</v>
      </c>
      <c r="AB183" s="253"/>
      <c r="AC183" s="533">
        <v>175</v>
      </c>
      <c r="AD183" s="529">
        <v>399.7</v>
      </c>
      <c r="AE183" s="527">
        <v>559.58000000000004</v>
      </c>
      <c r="AF183" s="253"/>
      <c r="AG183" s="533">
        <v>175</v>
      </c>
      <c r="AH183" s="529">
        <v>406.07</v>
      </c>
      <c r="AI183" s="527">
        <v>568.5</v>
      </c>
      <c r="AJ183" s="253"/>
      <c r="AK183" s="533">
        <v>175</v>
      </c>
      <c r="AL183" s="529">
        <v>412.44</v>
      </c>
      <c r="AM183" s="527">
        <v>577.41999999999996</v>
      </c>
      <c r="AN183" s="253"/>
      <c r="AO183" s="533">
        <v>175</v>
      </c>
      <c r="AP183" s="529">
        <v>418.81</v>
      </c>
      <c r="AQ183" s="527">
        <v>586.34</v>
      </c>
      <c r="AR183" s="253"/>
      <c r="AS183" s="533">
        <v>175</v>
      </c>
      <c r="AT183" s="529">
        <v>425.18</v>
      </c>
      <c r="AU183" s="527">
        <v>595.26</v>
      </c>
      <c r="AV183" s="253"/>
      <c r="AW183" s="533">
        <v>175</v>
      </c>
      <c r="AX183" s="529">
        <v>431.55</v>
      </c>
      <c r="AY183" s="527">
        <v>604.16999999999996</v>
      </c>
      <c r="AZ183" s="253"/>
      <c r="BA183" s="533">
        <v>175</v>
      </c>
      <c r="BB183" s="529">
        <v>437.92</v>
      </c>
      <c r="BC183" s="527">
        <v>613.09</v>
      </c>
      <c r="BD183" s="253"/>
      <c r="BE183" s="533">
        <v>175</v>
      </c>
      <c r="BF183" s="529">
        <v>444.29</v>
      </c>
      <c r="BG183" s="527">
        <v>622.01</v>
      </c>
      <c r="BH183" s="253"/>
      <c r="BI183" s="533">
        <v>175</v>
      </c>
      <c r="BJ183" s="529">
        <v>450.66</v>
      </c>
      <c r="BK183" s="527">
        <v>630.92999999999995</v>
      </c>
      <c r="BL183" s="253"/>
    </row>
    <row r="184" spans="1:64" ht="23.25">
      <c r="A184" s="263">
        <v>176</v>
      </c>
      <c r="B184" s="1437">
        <f t="shared" si="4"/>
        <v>389.24</v>
      </c>
      <c r="C184" s="1438">
        <f t="shared" si="5"/>
        <v>544.92999999999995</v>
      </c>
      <c r="D184" s="253"/>
      <c r="E184" s="1420">
        <v>176</v>
      </c>
      <c r="F184" s="1421">
        <v>363.61</v>
      </c>
      <c r="G184" s="1414">
        <v>509.06</v>
      </c>
      <c r="H184" s="1404"/>
      <c r="I184" s="1420">
        <v>176</v>
      </c>
      <c r="J184" s="1421">
        <v>370.02</v>
      </c>
      <c r="K184" s="1414">
        <v>518.03</v>
      </c>
      <c r="L184" s="253"/>
      <c r="M184" s="535">
        <v>176</v>
      </c>
      <c r="N184" s="536">
        <v>376.43</v>
      </c>
      <c r="O184" s="529">
        <v>527</v>
      </c>
      <c r="P184" s="253"/>
      <c r="Q184" s="535">
        <v>176</v>
      </c>
      <c r="R184" s="536">
        <v>382.83</v>
      </c>
      <c r="S184" s="529">
        <v>535.97</v>
      </c>
      <c r="T184" s="253"/>
      <c r="U184" s="535">
        <v>176</v>
      </c>
      <c r="V184" s="536">
        <v>389.24</v>
      </c>
      <c r="W184" s="529">
        <v>544.92999999999995</v>
      </c>
      <c r="X184" s="253"/>
      <c r="Y184" s="535">
        <v>176</v>
      </c>
      <c r="Z184" s="536">
        <v>395.65</v>
      </c>
      <c r="AA184" s="529">
        <v>553.9</v>
      </c>
      <c r="AB184" s="253"/>
      <c r="AC184" s="535">
        <v>176</v>
      </c>
      <c r="AD184" s="536">
        <v>402.05</v>
      </c>
      <c r="AE184" s="529">
        <v>562.87</v>
      </c>
      <c r="AF184" s="253"/>
      <c r="AG184" s="535">
        <v>176</v>
      </c>
      <c r="AH184" s="536">
        <v>408.46</v>
      </c>
      <c r="AI184" s="529">
        <v>571.84</v>
      </c>
      <c r="AJ184" s="253"/>
      <c r="AK184" s="535">
        <v>176</v>
      </c>
      <c r="AL184" s="536">
        <v>414.86</v>
      </c>
      <c r="AM184" s="529">
        <v>580.80999999999995</v>
      </c>
      <c r="AN184" s="253"/>
      <c r="AO184" s="535">
        <v>176</v>
      </c>
      <c r="AP184" s="536">
        <v>421.27</v>
      </c>
      <c r="AQ184" s="529">
        <v>589.78</v>
      </c>
      <c r="AR184" s="253"/>
      <c r="AS184" s="535">
        <v>176</v>
      </c>
      <c r="AT184" s="536">
        <v>427.68</v>
      </c>
      <c r="AU184" s="529">
        <v>598.75</v>
      </c>
      <c r="AV184" s="253"/>
      <c r="AW184" s="535">
        <v>176</v>
      </c>
      <c r="AX184" s="536">
        <v>434.08</v>
      </c>
      <c r="AY184" s="529">
        <v>607.72</v>
      </c>
      <c r="AZ184" s="253"/>
      <c r="BA184" s="535">
        <v>176</v>
      </c>
      <c r="BB184" s="536">
        <v>440.49</v>
      </c>
      <c r="BC184" s="529">
        <v>616.69000000000005</v>
      </c>
      <c r="BD184" s="253"/>
      <c r="BE184" s="535">
        <v>176</v>
      </c>
      <c r="BF184" s="536">
        <v>446.9</v>
      </c>
      <c r="BG184" s="529">
        <v>625.66</v>
      </c>
      <c r="BH184" s="253"/>
      <c r="BI184" s="535">
        <v>176</v>
      </c>
      <c r="BJ184" s="536">
        <v>453.3</v>
      </c>
      <c r="BK184" s="529">
        <v>634.62</v>
      </c>
      <c r="BL184" s="253"/>
    </row>
    <row r="185" spans="1:64" ht="23.25">
      <c r="A185" s="263">
        <v>177</v>
      </c>
      <c r="B185" s="1437">
        <f t="shared" si="4"/>
        <v>391.52</v>
      </c>
      <c r="C185" s="1438">
        <f t="shared" si="5"/>
        <v>548.13</v>
      </c>
      <c r="D185" s="253"/>
      <c r="E185" s="1420">
        <v>177</v>
      </c>
      <c r="F185" s="1421">
        <v>365.75</v>
      </c>
      <c r="G185" s="1414">
        <v>512.04999999999995</v>
      </c>
      <c r="H185" s="1404"/>
      <c r="I185" s="1420">
        <v>177</v>
      </c>
      <c r="J185" s="1421">
        <v>372.19</v>
      </c>
      <c r="K185" s="1414">
        <v>521.07000000000005</v>
      </c>
      <c r="L185" s="253"/>
      <c r="M185" s="535">
        <v>177</v>
      </c>
      <c r="N185" s="536">
        <v>378.64</v>
      </c>
      <c r="O185" s="529">
        <v>530.09</v>
      </c>
      <c r="P185" s="253"/>
      <c r="Q185" s="535">
        <v>177</v>
      </c>
      <c r="R185" s="536">
        <v>385.08</v>
      </c>
      <c r="S185" s="529">
        <v>539.11</v>
      </c>
      <c r="T185" s="253"/>
      <c r="U185" s="535">
        <v>177</v>
      </c>
      <c r="V185" s="536">
        <v>391.52</v>
      </c>
      <c r="W185" s="529">
        <v>548.13</v>
      </c>
      <c r="X185" s="253"/>
      <c r="Y185" s="535">
        <v>177</v>
      </c>
      <c r="Z185" s="536">
        <v>397.96</v>
      </c>
      <c r="AA185" s="529">
        <v>557.15</v>
      </c>
      <c r="AB185" s="253"/>
      <c r="AC185" s="535">
        <v>177</v>
      </c>
      <c r="AD185" s="536">
        <v>404.41</v>
      </c>
      <c r="AE185" s="529">
        <v>533.16999999999996</v>
      </c>
      <c r="AF185" s="253"/>
      <c r="AG185" s="535">
        <v>177</v>
      </c>
      <c r="AH185" s="536">
        <v>410.85</v>
      </c>
      <c r="AI185" s="529">
        <v>575.19000000000005</v>
      </c>
      <c r="AJ185" s="253"/>
      <c r="AK185" s="535">
        <v>177</v>
      </c>
      <c r="AL185" s="536">
        <v>417.29</v>
      </c>
      <c r="AM185" s="529">
        <v>584.21</v>
      </c>
      <c r="AN185" s="253"/>
      <c r="AO185" s="535">
        <v>177</v>
      </c>
      <c r="AP185" s="536">
        <v>423.74</v>
      </c>
      <c r="AQ185" s="529">
        <v>593.23</v>
      </c>
      <c r="AR185" s="253"/>
      <c r="AS185" s="535">
        <v>177</v>
      </c>
      <c r="AT185" s="536">
        <v>430.18</v>
      </c>
      <c r="AU185" s="529">
        <v>602.25</v>
      </c>
      <c r="AV185" s="253"/>
      <c r="AW185" s="535">
        <v>177</v>
      </c>
      <c r="AX185" s="536">
        <v>436.62</v>
      </c>
      <c r="AY185" s="529">
        <v>611.27</v>
      </c>
      <c r="AZ185" s="253"/>
      <c r="BA185" s="535">
        <v>177</v>
      </c>
      <c r="BB185" s="536">
        <v>443.06</v>
      </c>
      <c r="BC185" s="529">
        <v>620.29</v>
      </c>
      <c r="BD185" s="253"/>
      <c r="BE185" s="535">
        <v>177</v>
      </c>
      <c r="BF185" s="536">
        <v>449.51</v>
      </c>
      <c r="BG185" s="529">
        <v>629.30999999999995</v>
      </c>
      <c r="BH185" s="253"/>
      <c r="BI185" s="535">
        <v>177</v>
      </c>
      <c r="BJ185" s="536">
        <v>455.95</v>
      </c>
      <c r="BK185" s="529">
        <v>638.33000000000004</v>
      </c>
      <c r="BL185" s="253"/>
    </row>
    <row r="186" spans="1:64" ht="23.25">
      <c r="A186" s="263">
        <v>178</v>
      </c>
      <c r="B186" s="1437">
        <f t="shared" si="4"/>
        <v>393.28</v>
      </c>
      <c r="C186" s="1438">
        <f t="shared" si="5"/>
        <v>550.6</v>
      </c>
      <c r="D186" s="253"/>
      <c r="E186" s="1420">
        <v>178</v>
      </c>
      <c r="F186" s="1421">
        <v>367.37</v>
      </c>
      <c r="G186" s="1414">
        <v>514.30999999999995</v>
      </c>
      <c r="H186" s="1404"/>
      <c r="I186" s="1420">
        <v>178</v>
      </c>
      <c r="J186" s="1421">
        <v>373.85</v>
      </c>
      <c r="K186" s="1414">
        <v>523.38</v>
      </c>
      <c r="L186" s="253"/>
      <c r="M186" s="535">
        <v>178</v>
      </c>
      <c r="N186" s="536">
        <v>380.33</v>
      </c>
      <c r="O186" s="529">
        <v>532.46</v>
      </c>
      <c r="P186" s="253"/>
      <c r="Q186" s="535">
        <v>178</v>
      </c>
      <c r="R186" s="536">
        <v>386.8</v>
      </c>
      <c r="S186" s="529">
        <v>541.53</v>
      </c>
      <c r="T186" s="253"/>
      <c r="U186" s="535">
        <v>178</v>
      </c>
      <c r="V186" s="536">
        <v>393.28</v>
      </c>
      <c r="W186" s="529">
        <v>550.6</v>
      </c>
      <c r="X186" s="253"/>
      <c r="Y186" s="535">
        <v>178</v>
      </c>
      <c r="Z186" s="536">
        <v>399.76</v>
      </c>
      <c r="AA186" s="529">
        <v>559.66999999999996</v>
      </c>
      <c r="AB186" s="253"/>
      <c r="AC186" s="535">
        <v>178</v>
      </c>
      <c r="AD186" s="536">
        <v>406.24</v>
      </c>
      <c r="AE186" s="529">
        <v>568.74</v>
      </c>
      <c r="AF186" s="253"/>
      <c r="AG186" s="535">
        <v>178</v>
      </c>
      <c r="AH186" s="536">
        <v>412.72</v>
      </c>
      <c r="AI186" s="529">
        <v>577.80999999999995</v>
      </c>
      <c r="AJ186" s="253"/>
      <c r="AK186" s="535">
        <v>178</v>
      </c>
      <c r="AL186" s="536">
        <v>419.2</v>
      </c>
      <c r="AM186" s="529">
        <v>586.88</v>
      </c>
      <c r="AN186" s="253"/>
      <c r="AO186" s="535">
        <v>178</v>
      </c>
      <c r="AP186" s="536">
        <v>425.68</v>
      </c>
      <c r="AQ186" s="529">
        <v>595.95000000000005</v>
      </c>
      <c r="AR186" s="253"/>
      <c r="AS186" s="535">
        <v>178</v>
      </c>
      <c r="AT186" s="536">
        <v>432.16</v>
      </c>
      <c r="AU186" s="529">
        <v>605.02</v>
      </c>
      <c r="AV186" s="253"/>
      <c r="AW186" s="535">
        <v>178</v>
      </c>
      <c r="AX186" s="536">
        <v>438.64</v>
      </c>
      <c r="AY186" s="529">
        <v>614.09</v>
      </c>
      <c r="AZ186" s="253"/>
      <c r="BA186" s="535">
        <v>178</v>
      </c>
      <c r="BB186" s="536">
        <v>445.12</v>
      </c>
      <c r="BC186" s="529">
        <v>623.16</v>
      </c>
      <c r="BD186" s="253"/>
      <c r="BE186" s="535">
        <v>178</v>
      </c>
      <c r="BF186" s="536">
        <v>451.6</v>
      </c>
      <c r="BG186" s="529">
        <v>632.24</v>
      </c>
      <c r="BH186" s="253"/>
      <c r="BI186" s="535">
        <v>178</v>
      </c>
      <c r="BJ186" s="536">
        <v>458.08</v>
      </c>
      <c r="BK186" s="529">
        <v>641.30999999999995</v>
      </c>
      <c r="BL186" s="253"/>
    </row>
    <row r="187" spans="1:64" ht="23.25">
      <c r="A187" s="263">
        <v>179</v>
      </c>
      <c r="B187" s="1437">
        <f t="shared" si="4"/>
        <v>395.57</v>
      </c>
      <c r="C187" s="1438">
        <f t="shared" si="5"/>
        <v>553.79999999999995</v>
      </c>
      <c r="D187" s="253"/>
      <c r="E187" s="1420">
        <v>179</v>
      </c>
      <c r="F187" s="1421">
        <v>369.51</v>
      </c>
      <c r="G187" s="1414">
        <v>517.30999999999995</v>
      </c>
      <c r="H187" s="1404"/>
      <c r="I187" s="1420">
        <v>179</v>
      </c>
      <c r="J187" s="1421">
        <v>376.03</v>
      </c>
      <c r="K187" s="1414">
        <v>526.44000000000005</v>
      </c>
      <c r="L187" s="253"/>
      <c r="M187" s="535">
        <v>179</v>
      </c>
      <c r="N187" s="536">
        <v>382.54</v>
      </c>
      <c r="O187" s="529">
        <v>535.55999999999995</v>
      </c>
      <c r="P187" s="253"/>
      <c r="Q187" s="535">
        <v>179</v>
      </c>
      <c r="R187" s="536">
        <v>389.06</v>
      </c>
      <c r="S187" s="529">
        <v>544.67999999999995</v>
      </c>
      <c r="T187" s="253"/>
      <c r="U187" s="535">
        <v>179</v>
      </c>
      <c r="V187" s="536">
        <v>395.57</v>
      </c>
      <c r="W187" s="529">
        <v>553.79999999999995</v>
      </c>
      <c r="X187" s="253"/>
      <c r="Y187" s="535">
        <v>179</v>
      </c>
      <c r="Z187" s="536">
        <v>402.09</v>
      </c>
      <c r="AA187" s="529">
        <v>562.91999999999996</v>
      </c>
      <c r="AB187" s="253"/>
      <c r="AC187" s="535">
        <v>179</v>
      </c>
      <c r="AD187" s="536">
        <v>408.6</v>
      </c>
      <c r="AE187" s="529">
        <v>572.04999999999995</v>
      </c>
      <c r="AF187" s="253"/>
      <c r="AG187" s="535">
        <v>179</v>
      </c>
      <c r="AH187" s="536">
        <v>415.12</v>
      </c>
      <c r="AI187" s="529">
        <v>581.16999999999996</v>
      </c>
      <c r="AJ187" s="253"/>
      <c r="AK187" s="535">
        <v>179</v>
      </c>
      <c r="AL187" s="536">
        <v>421.64</v>
      </c>
      <c r="AM187" s="529">
        <v>590.29</v>
      </c>
      <c r="AN187" s="253"/>
      <c r="AO187" s="535">
        <v>179</v>
      </c>
      <c r="AP187" s="536">
        <v>428.15</v>
      </c>
      <c r="AQ187" s="529">
        <v>599.41</v>
      </c>
      <c r="AR187" s="253"/>
      <c r="AS187" s="535">
        <v>179</v>
      </c>
      <c r="AT187" s="536">
        <v>434.67</v>
      </c>
      <c r="AU187" s="529">
        <v>608.53</v>
      </c>
      <c r="AV187" s="253"/>
      <c r="AW187" s="535">
        <v>179</v>
      </c>
      <c r="AX187" s="536">
        <v>441.18</v>
      </c>
      <c r="AY187" s="529">
        <v>617.66</v>
      </c>
      <c r="AZ187" s="253"/>
      <c r="BA187" s="535">
        <v>179</v>
      </c>
      <c r="BB187" s="536">
        <v>447.7</v>
      </c>
      <c r="BC187" s="529">
        <v>626.78</v>
      </c>
      <c r="BD187" s="253"/>
      <c r="BE187" s="535">
        <v>179</v>
      </c>
      <c r="BF187" s="536">
        <v>454.21</v>
      </c>
      <c r="BG187" s="529">
        <v>635.9</v>
      </c>
      <c r="BH187" s="253"/>
      <c r="BI187" s="535">
        <v>179</v>
      </c>
      <c r="BJ187" s="536">
        <v>460.73</v>
      </c>
      <c r="BK187" s="529">
        <v>645.02</v>
      </c>
      <c r="BL187" s="253"/>
    </row>
    <row r="188" spans="1:64" ht="23.25">
      <c r="A188" s="263">
        <v>180</v>
      </c>
      <c r="B188" s="1437">
        <f t="shared" si="4"/>
        <v>397.87</v>
      </c>
      <c r="C188" s="1438">
        <f t="shared" si="5"/>
        <v>557.02</v>
      </c>
      <c r="D188" s="253"/>
      <c r="E188" s="1420">
        <v>180</v>
      </c>
      <c r="F188" s="1421">
        <v>371.66</v>
      </c>
      <c r="G188" s="1414">
        <v>520.33000000000004</v>
      </c>
      <c r="H188" s="1404"/>
      <c r="I188" s="1420">
        <v>180</v>
      </c>
      <c r="J188" s="1421">
        <v>378.21</v>
      </c>
      <c r="K188" s="1414">
        <v>529.5</v>
      </c>
      <c r="L188" s="253"/>
      <c r="M188" s="535">
        <v>180</v>
      </c>
      <c r="N188" s="536">
        <v>384.77</v>
      </c>
      <c r="O188" s="529">
        <v>538.66999999999996</v>
      </c>
      <c r="P188" s="253"/>
      <c r="Q188" s="535">
        <v>180</v>
      </c>
      <c r="R188" s="536">
        <v>391.32</v>
      </c>
      <c r="S188" s="529">
        <v>547.84</v>
      </c>
      <c r="T188" s="253"/>
      <c r="U188" s="535">
        <v>180</v>
      </c>
      <c r="V188" s="536">
        <v>397.87</v>
      </c>
      <c r="W188" s="529">
        <v>557.02</v>
      </c>
      <c r="X188" s="253"/>
      <c r="Y188" s="535">
        <v>180</v>
      </c>
      <c r="Z188" s="536">
        <v>404.42</v>
      </c>
      <c r="AA188" s="529">
        <v>566.19000000000005</v>
      </c>
      <c r="AB188" s="253"/>
      <c r="AC188" s="535">
        <v>180</v>
      </c>
      <c r="AD188" s="536">
        <v>410.97</v>
      </c>
      <c r="AE188" s="529">
        <v>575.36</v>
      </c>
      <c r="AF188" s="253"/>
      <c r="AG188" s="535">
        <v>180</v>
      </c>
      <c r="AH188" s="536">
        <v>417.53</v>
      </c>
      <c r="AI188" s="529">
        <v>584.54</v>
      </c>
      <c r="AJ188" s="253"/>
      <c r="AK188" s="535">
        <v>180</v>
      </c>
      <c r="AL188" s="536">
        <v>424.08</v>
      </c>
      <c r="AM188" s="529">
        <v>593.71</v>
      </c>
      <c r="AN188" s="253"/>
      <c r="AO188" s="535">
        <v>180</v>
      </c>
      <c r="AP188" s="536">
        <v>430.63</v>
      </c>
      <c r="AQ188" s="529">
        <v>602.88</v>
      </c>
      <c r="AR188" s="253"/>
      <c r="AS188" s="535">
        <v>180</v>
      </c>
      <c r="AT188" s="536">
        <v>437.18</v>
      </c>
      <c r="AU188" s="529">
        <v>612.04999999999995</v>
      </c>
      <c r="AV188" s="253"/>
      <c r="AW188" s="535">
        <v>180</v>
      </c>
      <c r="AX188" s="536">
        <v>443.73</v>
      </c>
      <c r="AY188" s="529">
        <v>621.23</v>
      </c>
      <c r="AZ188" s="253"/>
      <c r="BA188" s="535">
        <v>180</v>
      </c>
      <c r="BB188" s="536">
        <v>450.29</v>
      </c>
      <c r="BC188" s="529">
        <v>630.4</v>
      </c>
      <c r="BD188" s="253"/>
      <c r="BE188" s="535">
        <v>180</v>
      </c>
      <c r="BF188" s="536">
        <v>456.84</v>
      </c>
      <c r="BG188" s="529">
        <v>639.57000000000005</v>
      </c>
      <c r="BH188" s="253"/>
      <c r="BI188" s="535">
        <v>180</v>
      </c>
      <c r="BJ188" s="536">
        <v>463.39</v>
      </c>
      <c r="BK188" s="529">
        <v>648.75</v>
      </c>
      <c r="BL188" s="253"/>
    </row>
    <row r="189" spans="1:64" ht="23.25">
      <c r="A189" s="263">
        <v>181</v>
      </c>
      <c r="B189" s="1437">
        <f t="shared" si="4"/>
        <v>400.17</v>
      </c>
      <c r="C189" s="1438">
        <f t="shared" si="5"/>
        <v>560.24</v>
      </c>
      <c r="D189" s="253"/>
      <c r="E189" s="1420">
        <v>181</v>
      </c>
      <c r="F189" s="1421">
        <v>373.82</v>
      </c>
      <c r="G189" s="1414">
        <v>523.35</v>
      </c>
      <c r="H189" s="1404"/>
      <c r="I189" s="1420">
        <v>181</v>
      </c>
      <c r="J189" s="1421">
        <v>380.41</v>
      </c>
      <c r="K189" s="1414">
        <v>532.57000000000005</v>
      </c>
      <c r="L189" s="253"/>
      <c r="M189" s="535">
        <v>181</v>
      </c>
      <c r="N189" s="536">
        <v>387</v>
      </c>
      <c r="O189" s="529">
        <v>541.79999999999995</v>
      </c>
      <c r="P189" s="253"/>
      <c r="Q189" s="535">
        <v>181</v>
      </c>
      <c r="R189" s="536">
        <v>393.58</v>
      </c>
      <c r="S189" s="529">
        <v>551.02</v>
      </c>
      <c r="T189" s="253"/>
      <c r="U189" s="535">
        <v>181</v>
      </c>
      <c r="V189" s="536">
        <v>400.17</v>
      </c>
      <c r="W189" s="529">
        <v>560.24</v>
      </c>
      <c r="X189" s="253"/>
      <c r="Y189" s="535">
        <v>181</v>
      </c>
      <c r="Z189" s="536">
        <v>406.76</v>
      </c>
      <c r="AA189" s="529">
        <v>569.47</v>
      </c>
      <c r="AB189" s="253"/>
      <c r="AC189" s="535">
        <v>181</v>
      </c>
      <c r="AD189" s="536">
        <v>413.35</v>
      </c>
      <c r="AE189" s="529">
        <v>578.69000000000005</v>
      </c>
      <c r="AF189" s="253"/>
      <c r="AG189" s="535">
        <v>181</v>
      </c>
      <c r="AH189" s="536">
        <v>419.94</v>
      </c>
      <c r="AI189" s="529">
        <v>587.91</v>
      </c>
      <c r="AJ189" s="253"/>
      <c r="AK189" s="535">
        <v>181</v>
      </c>
      <c r="AL189" s="536">
        <v>426.53</v>
      </c>
      <c r="AM189" s="529">
        <v>597.14</v>
      </c>
      <c r="AN189" s="253"/>
      <c r="AO189" s="535">
        <v>181</v>
      </c>
      <c r="AP189" s="536">
        <v>433.12</v>
      </c>
      <c r="AQ189" s="529">
        <v>606.36</v>
      </c>
      <c r="AR189" s="253"/>
      <c r="AS189" s="535">
        <v>181</v>
      </c>
      <c r="AT189" s="536">
        <v>439.7</v>
      </c>
      <c r="AU189" s="529">
        <v>615.59</v>
      </c>
      <c r="AV189" s="253"/>
      <c r="AW189" s="535">
        <v>181</v>
      </c>
      <c r="AX189" s="536">
        <v>446.29</v>
      </c>
      <c r="AY189" s="529">
        <v>624.80999999999995</v>
      </c>
      <c r="AZ189" s="253"/>
      <c r="BA189" s="535">
        <v>181</v>
      </c>
      <c r="BB189" s="536">
        <v>452.88</v>
      </c>
      <c r="BC189" s="529">
        <v>634.03</v>
      </c>
      <c r="BD189" s="253"/>
      <c r="BE189" s="535">
        <v>181</v>
      </c>
      <c r="BF189" s="536">
        <v>459.47</v>
      </c>
      <c r="BG189" s="529">
        <v>643.26</v>
      </c>
      <c r="BH189" s="253"/>
      <c r="BI189" s="535">
        <v>181</v>
      </c>
      <c r="BJ189" s="536">
        <v>466.06</v>
      </c>
      <c r="BK189" s="529">
        <v>652.48</v>
      </c>
      <c r="BL189" s="253"/>
    </row>
    <row r="190" spans="1:64" ht="23.25">
      <c r="A190" s="263">
        <v>182</v>
      </c>
      <c r="B190" s="1437">
        <f t="shared" si="4"/>
        <v>402.48</v>
      </c>
      <c r="C190" s="1438">
        <f t="shared" si="5"/>
        <v>563.48</v>
      </c>
      <c r="D190" s="253"/>
      <c r="E190" s="1420">
        <v>182</v>
      </c>
      <c r="F190" s="1421">
        <v>375.99</v>
      </c>
      <c r="G190" s="1414">
        <v>526.38</v>
      </c>
      <c r="H190" s="1404"/>
      <c r="I190" s="1420">
        <v>182</v>
      </c>
      <c r="J190" s="1421">
        <v>382.61</v>
      </c>
      <c r="K190" s="1414">
        <v>535.65</v>
      </c>
      <c r="L190" s="253"/>
      <c r="M190" s="535">
        <v>182</v>
      </c>
      <c r="N190" s="536">
        <v>389.23</v>
      </c>
      <c r="O190" s="529">
        <v>544.92999999999995</v>
      </c>
      <c r="P190" s="253"/>
      <c r="Q190" s="535">
        <v>182</v>
      </c>
      <c r="R190" s="536">
        <v>395.86</v>
      </c>
      <c r="S190" s="529">
        <v>554.20000000000005</v>
      </c>
      <c r="T190" s="253"/>
      <c r="U190" s="535">
        <v>182</v>
      </c>
      <c r="V190" s="536">
        <v>402.48</v>
      </c>
      <c r="W190" s="529">
        <v>563.48</v>
      </c>
      <c r="X190" s="253"/>
      <c r="Y190" s="535">
        <v>182</v>
      </c>
      <c r="Z190" s="536">
        <v>409.11</v>
      </c>
      <c r="AA190" s="529">
        <v>572.75</v>
      </c>
      <c r="AB190" s="253"/>
      <c r="AC190" s="535">
        <v>182</v>
      </c>
      <c r="AD190" s="536">
        <v>415.73</v>
      </c>
      <c r="AE190" s="529">
        <v>582.03</v>
      </c>
      <c r="AF190" s="253"/>
      <c r="AG190" s="535">
        <v>182</v>
      </c>
      <c r="AH190" s="536">
        <v>422.36</v>
      </c>
      <c r="AI190" s="529">
        <v>591.29999999999995</v>
      </c>
      <c r="AJ190" s="253"/>
      <c r="AK190" s="535">
        <v>182</v>
      </c>
      <c r="AL190" s="536">
        <v>428.98</v>
      </c>
      <c r="AM190" s="529">
        <v>600.58000000000004</v>
      </c>
      <c r="AN190" s="253"/>
      <c r="AO190" s="535">
        <v>182</v>
      </c>
      <c r="AP190" s="536">
        <v>435.61</v>
      </c>
      <c r="AQ190" s="529">
        <v>609.85</v>
      </c>
      <c r="AR190" s="253"/>
      <c r="AS190" s="535">
        <v>182</v>
      </c>
      <c r="AT190" s="536">
        <v>442.23</v>
      </c>
      <c r="AU190" s="529">
        <v>619.13</v>
      </c>
      <c r="AV190" s="253"/>
      <c r="AW190" s="535">
        <v>182</v>
      </c>
      <c r="AX190" s="536">
        <v>448.86</v>
      </c>
      <c r="AY190" s="529">
        <v>628.4</v>
      </c>
      <c r="AZ190" s="253"/>
      <c r="BA190" s="535">
        <v>182</v>
      </c>
      <c r="BB190" s="536">
        <v>455.48</v>
      </c>
      <c r="BC190" s="529">
        <v>637.67999999999995</v>
      </c>
      <c r="BD190" s="253"/>
      <c r="BE190" s="535">
        <v>182</v>
      </c>
      <c r="BF190" s="536">
        <v>462.11</v>
      </c>
      <c r="BG190" s="529">
        <v>646.95000000000005</v>
      </c>
      <c r="BH190" s="253"/>
      <c r="BI190" s="535">
        <v>182</v>
      </c>
      <c r="BJ190" s="536">
        <v>468.73</v>
      </c>
      <c r="BK190" s="529">
        <v>656.23</v>
      </c>
      <c r="BL190" s="253"/>
    </row>
    <row r="191" spans="1:64" ht="23.25">
      <c r="A191" s="263">
        <v>183</v>
      </c>
      <c r="B191" s="1437">
        <f t="shared" si="4"/>
        <v>404.8</v>
      </c>
      <c r="C191" s="1438">
        <f t="shared" si="5"/>
        <v>566.72</v>
      </c>
      <c r="D191" s="253"/>
      <c r="E191" s="1420">
        <v>183</v>
      </c>
      <c r="F191" s="1421">
        <v>378.16</v>
      </c>
      <c r="G191" s="1414">
        <v>529.41999999999996</v>
      </c>
      <c r="H191" s="1404"/>
      <c r="I191" s="1420">
        <v>183</v>
      </c>
      <c r="J191" s="1421">
        <v>384.82</v>
      </c>
      <c r="K191" s="1414">
        <v>538.75</v>
      </c>
      <c r="L191" s="253"/>
      <c r="M191" s="535">
        <v>183</v>
      </c>
      <c r="N191" s="536">
        <v>391.48</v>
      </c>
      <c r="O191" s="529">
        <v>548.07000000000005</v>
      </c>
      <c r="P191" s="253"/>
      <c r="Q191" s="535">
        <v>183</v>
      </c>
      <c r="R191" s="536">
        <v>398.14</v>
      </c>
      <c r="S191" s="529">
        <v>557.4</v>
      </c>
      <c r="T191" s="253"/>
      <c r="U191" s="535">
        <v>183</v>
      </c>
      <c r="V191" s="536">
        <v>404.8</v>
      </c>
      <c r="W191" s="529">
        <v>566.72</v>
      </c>
      <c r="X191" s="253"/>
      <c r="Y191" s="535">
        <v>183</v>
      </c>
      <c r="Z191" s="536">
        <v>411.46</v>
      </c>
      <c r="AA191" s="529">
        <v>576.04999999999995</v>
      </c>
      <c r="AB191" s="253"/>
      <c r="AC191" s="535">
        <v>183</v>
      </c>
      <c r="AD191" s="536">
        <v>418.13</v>
      </c>
      <c r="AE191" s="529">
        <v>585.38</v>
      </c>
      <c r="AF191" s="253"/>
      <c r="AG191" s="535">
        <v>183</v>
      </c>
      <c r="AH191" s="536">
        <v>424.79</v>
      </c>
      <c r="AI191" s="529">
        <v>594.70000000000005</v>
      </c>
      <c r="AJ191" s="253"/>
      <c r="AK191" s="535">
        <v>183</v>
      </c>
      <c r="AL191" s="536">
        <v>431.45</v>
      </c>
      <c r="AM191" s="529">
        <v>604.03</v>
      </c>
      <c r="AN191" s="253"/>
      <c r="AO191" s="535">
        <v>183</v>
      </c>
      <c r="AP191" s="536">
        <v>438.11</v>
      </c>
      <c r="AQ191" s="529">
        <v>613.35</v>
      </c>
      <c r="AR191" s="253"/>
      <c r="AS191" s="535">
        <v>183</v>
      </c>
      <c r="AT191" s="536">
        <v>444.77</v>
      </c>
      <c r="AU191" s="529">
        <v>622.67999999999995</v>
      </c>
      <c r="AV191" s="253"/>
      <c r="AW191" s="535">
        <v>183</v>
      </c>
      <c r="AX191" s="536">
        <v>451.43</v>
      </c>
      <c r="AY191" s="529">
        <v>632</v>
      </c>
      <c r="AZ191" s="253"/>
      <c r="BA191" s="535">
        <v>183</v>
      </c>
      <c r="BB191" s="536">
        <v>458.09</v>
      </c>
      <c r="BC191" s="529">
        <v>641.33000000000004</v>
      </c>
      <c r="BD191" s="253"/>
      <c r="BE191" s="535">
        <v>183</v>
      </c>
      <c r="BF191" s="536">
        <v>464.75</v>
      </c>
      <c r="BG191" s="529">
        <v>650.65</v>
      </c>
      <c r="BH191" s="253"/>
      <c r="BI191" s="535">
        <v>183</v>
      </c>
      <c r="BJ191" s="536">
        <v>471.41</v>
      </c>
      <c r="BK191" s="529">
        <v>659.98</v>
      </c>
      <c r="BL191" s="253"/>
    </row>
    <row r="192" spans="1:64" ht="23.25">
      <c r="A192" s="263">
        <v>184</v>
      </c>
      <c r="B192" s="1437">
        <f t="shared" si="4"/>
        <v>406.56</v>
      </c>
      <c r="C192" s="1438">
        <f t="shared" si="5"/>
        <v>569.19000000000005</v>
      </c>
      <c r="D192" s="253"/>
      <c r="E192" s="1420">
        <v>184</v>
      </c>
      <c r="F192" s="1421">
        <v>379.77</v>
      </c>
      <c r="G192" s="1414">
        <v>531.67999999999995</v>
      </c>
      <c r="H192" s="1404"/>
      <c r="I192" s="1420">
        <v>184</v>
      </c>
      <c r="J192" s="1421">
        <v>386.47</v>
      </c>
      <c r="K192" s="1414">
        <v>541.05999999999995</v>
      </c>
      <c r="L192" s="253"/>
      <c r="M192" s="535">
        <v>184</v>
      </c>
      <c r="N192" s="536">
        <v>393.17</v>
      </c>
      <c r="O192" s="529">
        <v>550.44000000000005</v>
      </c>
      <c r="P192" s="253"/>
      <c r="Q192" s="535">
        <v>184</v>
      </c>
      <c r="R192" s="536">
        <v>399.87</v>
      </c>
      <c r="S192" s="529">
        <v>559.80999999999995</v>
      </c>
      <c r="T192" s="253"/>
      <c r="U192" s="535">
        <v>184</v>
      </c>
      <c r="V192" s="536">
        <v>406.56</v>
      </c>
      <c r="W192" s="529">
        <v>569.19000000000005</v>
      </c>
      <c r="X192" s="253"/>
      <c r="Y192" s="535">
        <v>184</v>
      </c>
      <c r="Z192" s="536">
        <v>413.26</v>
      </c>
      <c r="AA192" s="529">
        <v>578.57000000000005</v>
      </c>
      <c r="AB192" s="253"/>
      <c r="AC192" s="535">
        <v>184</v>
      </c>
      <c r="AD192" s="536">
        <v>419.96</v>
      </c>
      <c r="AE192" s="529">
        <v>587.94000000000005</v>
      </c>
      <c r="AF192" s="253"/>
      <c r="AG192" s="535">
        <v>184</v>
      </c>
      <c r="AH192" s="536">
        <v>426.66</v>
      </c>
      <c r="AI192" s="529">
        <v>597.32000000000005</v>
      </c>
      <c r="AJ192" s="253"/>
      <c r="AK192" s="535">
        <v>184</v>
      </c>
      <c r="AL192" s="536">
        <v>433.36</v>
      </c>
      <c r="AM192" s="529">
        <v>606.70000000000005</v>
      </c>
      <c r="AN192" s="253"/>
      <c r="AO192" s="535">
        <v>184</v>
      </c>
      <c r="AP192" s="536">
        <v>440.05</v>
      </c>
      <c r="AQ192" s="529">
        <v>161.07</v>
      </c>
      <c r="AR192" s="253"/>
      <c r="AS192" s="535">
        <v>184</v>
      </c>
      <c r="AT192" s="536">
        <v>446.75</v>
      </c>
      <c r="AU192" s="529">
        <v>625.45000000000005</v>
      </c>
      <c r="AV192" s="253"/>
      <c r="AW192" s="535">
        <v>184</v>
      </c>
      <c r="AX192" s="536">
        <v>453.45</v>
      </c>
      <c r="AY192" s="529">
        <v>634.83000000000004</v>
      </c>
      <c r="AZ192" s="253"/>
      <c r="BA192" s="535">
        <v>184</v>
      </c>
      <c r="BB192" s="536">
        <v>460.15</v>
      </c>
      <c r="BC192" s="529">
        <v>644.20000000000005</v>
      </c>
      <c r="BD192" s="253"/>
      <c r="BE192" s="535">
        <v>184</v>
      </c>
      <c r="BF192" s="536">
        <v>466.84</v>
      </c>
      <c r="BG192" s="529">
        <v>653.58000000000004</v>
      </c>
      <c r="BH192" s="253"/>
      <c r="BI192" s="535">
        <v>184</v>
      </c>
      <c r="BJ192" s="536">
        <v>473.54</v>
      </c>
      <c r="BK192" s="529">
        <v>662.96</v>
      </c>
      <c r="BL192" s="253"/>
    </row>
    <row r="193" spans="1:64" ht="23.25">
      <c r="A193" s="263">
        <v>185</v>
      </c>
      <c r="B193" s="1437">
        <f t="shared" si="4"/>
        <v>408.89</v>
      </c>
      <c r="C193" s="1438">
        <f t="shared" si="5"/>
        <v>572.45000000000005</v>
      </c>
      <c r="D193" s="253"/>
      <c r="E193" s="1420">
        <v>185</v>
      </c>
      <c r="F193" s="1421">
        <v>381.95</v>
      </c>
      <c r="G193" s="1414">
        <v>534.74</v>
      </c>
      <c r="H193" s="1404"/>
      <c r="I193" s="1420">
        <v>185</v>
      </c>
      <c r="J193" s="1421">
        <v>388.69</v>
      </c>
      <c r="K193" s="1414">
        <v>544.16</v>
      </c>
      <c r="L193" s="253"/>
      <c r="M193" s="535">
        <v>185</v>
      </c>
      <c r="N193" s="536">
        <v>395.42</v>
      </c>
      <c r="O193" s="529">
        <v>553.59</v>
      </c>
      <c r="P193" s="253"/>
      <c r="Q193" s="535">
        <v>185</v>
      </c>
      <c r="R193" s="536">
        <v>405.16</v>
      </c>
      <c r="S193" s="529">
        <v>563.02</v>
      </c>
      <c r="T193" s="253"/>
      <c r="U193" s="535">
        <v>185</v>
      </c>
      <c r="V193" s="536">
        <v>408.89</v>
      </c>
      <c r="W193" s="529">
        <v>572.45000000000005</v>
      </c>
      <c r="X193" s="253"/>
      <c r="Y193" s="535">
        <v>185</v>
      </c>
      <c r="Z193" s="536">
        <v>415.62</v>
      </c>
      <c r="AA193" s="529">
        <v>581.87</v>
      </c>
      <c r="AB193" s="253"/>
      <c r="AC193" s="535">
        <v>185</v>
      </c>
      <c r="AD193" s="536">
        <v>422.36</v>
      </c>
      <c r="AE193" s="529">
        <v>591.29999999999995</v>
      </c>
      <c r="AF193" s="253"/>
      <c r="AG193" s="535">
        <v>185</v>
      </c>
      <c r="AH193" s="536">
        <v>429.09</v>
      </c>
      <c r="AI193" s="529">
        <v>600.73</v>
      </c>
      <c r="AJ193" s="253"/>
      <c r="AK193" s="535">
        <v>185</v>
      </c>
      <c r="AL193" s="536">
        <v>435.83</v>
      </c>
      <c r="AM193" s="529">
        <v>610.16</v>
      </c>
      <c r="AN193" s="253"/>
      <c r="AO193" s="535">
        <v>185</v>
      </c>
      <c r="AP193" s="536">
        <v>442.56</v>
      </c>
      <c r="AQ193" s="529">
        <v>619.59</v>
      </c>
      <c r="AR193" s="253"/>
      <c r="AS193" s="535">
        <v>185</v>
      </c>
      <c r="AT193" s="536">
        <v>449.29</v>
      </c>
      <c r="AU193" s="529">
        <v>629.01</v>
      </c>
      <c r="AV193" s="253"/>
      <c r="AW193" s="535">
        <v>185</v>
      </c>
      <c r="AX193" s="536">
        <v>456.03</v>
      </c>
      <c r="AY193" s="529">
        <v>638.44000000000005</v>
      </c>
      <c r="AZ193" s="253"/>
      <c r="BA193" s="535">
        <v>185</v>
      </c>
      <c r="BB193" s="536">
        <v>462.76</v>
      </c>
      <c r="BC193" s="529">
        <v>647.87</v>
      </c>
      <c r="BD193" s="253"/>
      <c r="BE193" s="535">
        <v>185</v>
      </c>
      <c r="BF193" s="536">
        <v>469.5</v>
      </c>
      <c r="BG193" s="529">
        <v>657.3</v>
      </c>
      <c r="BH193" s="253"/>
      <c r="BI193" s="535">
        <v>185</v>
      </c>
      <c r="BJ193" s="536">
        <v>476.23</v>
      </c>
      <c r="BK193" s="529">
        <v>666.72</v>
      </c>
      <c r="BL193" s="253"/>
    </row>
    <row r="194" spans="1:64" ht="23.25">
      <c r="A194" s="263">
        <v>186</v>
      </c>
      <c r="B194" s="1437">
        <f t="shared" si="4"/>
        <v>411.22</v>
      </c>
      <c r="C194" s="1438">
        <f t="shared" si="5"/>
        <v>575.71</v>
      </c>
      <c r="D194" s="253"/>
      <c r="E194" s="1420">
        <v>186</v>
      </c>
      <c r="F194" s="1421">
        <v>384.14</v>
      </c>
      <c r="G194" s="1414">
        <v>537.79999999999995</v>
      </c>
      <c r="H194" s="1404"/>
      <c r="I194" s="1420">
        <v>186</v>
      </c>
      <c r="J194" s="1421">
        <v>390.91</v>
      </c>
      <c r="K194" s="1414">
        <v>547.28</v>
      </c>
      <c r="L194" s="253"/>
      <c r="M194" s="535">
        <v>186</v>
      </c>
      <c r="N194" s="536">
        <v>397.68</v>
      </c>
      <c r="O194" s="529">
        <v>556.76</v>
      </c>
      <c r="P194" s="253"/>
      <c r="Q194" s="535">
        <v>186</v>
      </c>
      <c r="R194" s="536">
        <v>404.45</v>
      </c>
      <c r="S194" s="529">
        <v>566.24</v>
      </c>
      <c r="T194" s="253"/>
      <c r="U194" s="535">
        <v>186</v>
      </c>
      <c r="V194" s="536">
        <v>411.22</v>
      </c>
      <c r="W194" s="529">
        <v>575.71</v>
      </c>
      <c r="X194" s="253"/>
      <c r="Y194" s="535">
        <v>186</v>
      </c>
      <c r="Z194" s="536">
        <v>418</v>
      </c>
      <c r="AA194" s="529">
        <v>585.19000000000005</v>
      </c>
      <c r="AB194" s="253"/>
      <c r="AC194" s="535">
        <v>186</v>
      </c>
      <c r="AD194" s="536">
        <v>424.77</v>
      </c>
      <c r="AE194" s="529">
        <v>594.66999999999996</v>
      </c>
      <c r="AF194" s="253"/>
      <c r="AG194" s="535">
        <v>186</v>
      </c>
      <c r="AH194" s="536">
        <v>431.54</v>
      </c>
      <c r="AI194" s="529">
        <v>604.15</v>
      </c>
      <c r="AJ194" s="253"/>
      <c r="AK194" s="535">
        <v>186</v>
      </c>
      <c r="AL194" s="536">
        <v>438.31</v>
      </c>
      <c r="AM194" s="529">
        <v>613.63</v>
      </c>
      <c r="AN194" s="253"/>
      <c r="AO194" s="535">
        <v>186</v>
      </c>
      <c r="AP194" s="536">
        <v>445.08</v>
      </c>
      <c r="AQ194" s="529">
        <v>623.11</v>
      </c>
      <c r="AR194" s="253"/>
      <c r="AS194" s="535">
        <v>186</v>
      </c>
      <c r="AT194" s="536">
        <v>451.85</v>
      </c>
      <c r="AU194" s="529">
        <v>632.59</v>
      </c>
      <c r="AV194" s="253"/>
      <c r="AW194" s="535">
        <v>186</v>
      </c>
      <c r="AX194" s="536">
        <v>458.62</v>
      </c>
      <c r="AY194" s="529">
        <v>642.05999999999995</v>
      </c>
      <c r="AZ194" s="253"/>
      <c r="BA194" s="535">
        <v>186</v>
      </c>
      <c r="BB194" s="536">
        <v>465.39</v>
      </c>
      <c r="BC194" s="529">
        <v>651.54</v>
      </c>
      <c r="BD194" s="253"/>
      <c r="BE194" s="535">
        <v>186</v>
      </c>
      <c r="BF194" s="536">
        <v>472.16</v>
      </c>
      <c r="BG194" s="529">
        <v>661.02</v>
      </c>
      <c r="BH194" s="253"/>
      <c r="BI194" s="535">
        <v>186</v>
      </c>
      <c r="BJ194" s="536">
        <v>478.93</v>
      </c>
      <c r="BK194" s="529">
        <v>670.5</v>
      </c>
      <c r="BL194" s="253"/>
    </row>
    <row r="195" spans="1:64" ht="23.25">
      <c r="A195" s="263">
        <v>187</v>
      </c>
      <c r="B195" s="1437">
        <f t="shared" si="4"/>
        <v>413.57</v>
      </c>
      <c r="C195" s="1438">
        <f t="shared" si="5"/>
        <v>578.99</v>
      </c>
      <c r="D195" s="253"/>
      <c r="E195" s="1420">
        <v>187</v>
      </c>
      <c r="F195" s="1421">
        <v>386.34</v>
      </c>
      <c r="G195" s="1414">
        <v>540.88</v>
      </c>
      <c r="H195" s="1404"/>
      <c r="I195" s="1420">
        <v>187</v>
      </c>
      <c r="J195" s="1421">
        <v>393.15</v>
      </c>
      <c r="K195" s="1414">
        <v>550.4</v>
      </c>
      <c r="L195" s="253"/>
      <c r="M195" s="535">
        <v>187</v>
      </c>
      <c r="N195" s="536">
        <v>399.95</v>
      </c>
      <c r="O195" s="529">
        <v>559.92999999999995</v>
      </c>
      <c r="P195" s="253"/>
      <c r="Q195" s="535">
        <v>187</v>
      </c>
      <c r="R195" s="536">
        <v>406.76</v>
      </c>
      <c r="S195" s="529">
        <v>569.46</v>
      </c>
      <c r="T195" s="253"/>
      <c r="U195" s="535">
        <v>187</v>
      </c>
      <c r="V195" s="536">
        <v>413.57</v>
      </c>
      <c r="W195" s="529">
        <v>578.99</v>
      </c>
      <c r="X195" s="253"/>
      <c r="Y195" s="535">
        <v>187</v>
      </c>
      <c r="Z195" s="536">
        <v>420.37</v>
      </c>
      <c r="AA195" s="529">
        <v>588.52</v>
      </c>
      <c r="AB195" s="253"/>
      <c r="AC195" s="535">
        <v>187</v>
      </c>
      <c r="AD195" s="536">
        <v>427.18</v>
      </c>
      <c r="AE195" s="529">
        <v>598.04999999999995</v>
      </c>
      <c r="AF195" s="253"/>
      <c r="AG195" s="535">
        <v>187</v>
      </c>
      <c r="AH195" s="536">
        <v>433.99</v>
      </c>
      <c r="AI195" s="529">
        <v>607.58000000000004</v>
      </c>
      <c r="AJ195" s="253"/>
      <c r="AK195" s="535">
        <v>187</v>
      </c>
      <c r="AL195" s="536">
        <v>440.79</v>
      </c>
      <c r="AM195" s="529">
        <v>617.11</v>
      </c>
      <c r="AN195" s="253"/>
      <c r="AO195" s="535">
        <v>187</v>
      </c>
      <c r="AP195" s="536">
        <v>447.6</v>
      </c>
      <c r="AQ195" s="529">
        <v>626.64</v>
      </c>
      <c r="AR195" s="253"/>
      <c r="AS195" s="535">
        <v>187</v>
      </c>
      <c r="AT195" s="536">
        <v>454.41</v>
      </c>
      <c r="AU195" s="529">
        <v>636.16999999999996</v>
      </c>
      <c r="AV195" s="253"/>
      <c r="AW195" s="535">
        <v>187</v>
      </c>
      <c r="AX195" s="536">
        <v>461.21</v>
      </c>
      <c r="AY195" s="529">
        <v>645.70000000000005</v>
      </c>
      <c r="AZ195" s="253"/>
      <c r="BA195" s="535">
        <v>187</v>
      </c>
      <c r="BB195" s="536">
        <v>468.02</v>
      </c>
      <c r="BC195" s="529">
        <v>655.23</v>
      </c>
      <c r="BD195" s="253"/>
      <c r="BE195" s="535">
        <v>187</v>
      </c>
      <c r="BF195" s="536">
        <v>474.83</v>
      </c>
      <c r="BG195" s="529">
        <v>664.76</v>
      </c>
      <c r="BH195" s="253"/>
      <c r="BI195" s="535">
        <v>187</v>
      </c>
      <c r="BJ195" s="536">
        <v>481.63</v>
      </c>
      <c r="BK195" s="529">
        <v>674.29</v>
      </c>
      <c r="BL195" s="253"/>
    </row>
    <row r="196" spans="1:64" ht="23.25">
      <c r="A196" s="263">
        <v>188</v>
      </c>
      <c r="B196" s="1437">
        <f t="shared" si="4"/>
        <v>415.33</v>
      </c>
      <c r="C196" s="1438">
        <f t="shared" si="5"/>
        <v>581.46</v>
      </c>
      <c r="D196" s="253"/>
      <c r="E196" s="1420">
        <v>188</v>
      </c>
      <c r="F196" s="1421">
        <v>387.96</v>
      </c>
      <c r="G196" s="1414">
        <v>543.14</v>
      </c>
      <c r="H196" s="1404"/>
      <c r="I196" s="1420">
        <v>188</v>
      </c>
      <c r="J196" s="1421">
        <v>394.8</v>
      </c>
      <c r="K196" s="1414">
        <v>552.72</v>
      </c>
      <c r="L196" s="253"/>
      <c r="M196" s="535">
        <v>188</v>
      </c>
      <c r="N196" s="536">
        <v>401.64</v>
      </c>
      <c r="O196" s="529">
        <v>562.29999999999995</v>
      </c>
      <c r="P196" s="253"/>
      <c r="Q196" s="535">
        <v>188</v>
      </c>
      <c r="R196" s="536">
        <v>408.49</v>
      </c>
      <c r="S196" s="529">
        <v>571.88</v>
      </c>
      <c r="T196" s="253"/>
      <c r="U196" s="535">
        <v>188</v>
      </c>
      <c r="V196" s="536">
        <v>415.33</v>
      </c>
      <c r="W196" s="529">
        <v>581.46</v>
      </c>
      <c r="X196" s="253"/>
      <c r="Y196" s="535">
        <v>188</v>
      </c>
      <c r="Z196" s="536">
        <v>422.17</v>
      </c>
      <c r="AA196" s="529">
        <v>591.04</v>
      </c>
      <c r="AB196" s="253"/>
      <c r="AC196" s="535">
        <v>188</v>
      </c>
      <c r="AD196" s="536">
        <v>429.01</v>
      </c>
      <c r="AE196" s="529">
        <v>600.62</v>
      </c>
      <c r="AF196" s="253"/>
      <c r="AG196" s="535">
        <v>188</v>
      </c>
      <c r="AH196" s="536">
        <v>435.86</v>
      </c>
      <c r="AI196" s="529">
        <v>610.20000000000005</v>
      </c>
      <c r="AJ196" s="253"/>
      <c r="AK196" s="535">
        <v>188</v>
      </c>
      <c r="AL196" s="536">
        <v>442.7</v>
      </c>
      <c r="AM196" s="529">
        <v>619.78</v>
      </c>
      <c r="AN196" s="253"/>
      <c r="AO196" s="535">
        <v>188</v>
      </c>
      <c r="AP196" s="536">
        <v>449.54</v>
      </c>
      <c r="AQ196" s="529">
        <v>626.36</v>
      </c>
      <c r="AR196" s="253"/>
      <c r="AS196" s="535">
        <v>188</v>
      </c>
      <c r="AT196" s="536">
        <v>456.39</v>
      </c>
      <c r="AU196" s="529">
        <v>638.94000000000005</v>
      </c>
      <c r="AV196" s="253"/>
      <c r="AW196" s="535">
        <v>188</v>
      </c>
      <c r="AX196" s="536">
        <v>463.23</v>
      </c>
      <c r="AY196" s="529">
        <v>648.52</v>
      </c>
      <c r="AZ196" s="253"/>
      <c r="BA196" s="535">
        <v>188</v>
      </c>
      <c r="BB196" s="536">
        <v>470.07</v>
      </c>
      <c r="BC196" s="529">
        <v>658.1</v>
      </c>
      <c r="BD196" s="253"/>
      <c r="BE196" s="535">
        <v>188</v>
      </c>
      <c r="BF196" s="536">
        <v>476.92</v>
      </c>
      <c r="BG196" s="529">
        <v>667.68</v>
      </c>
      <c r="BH196" s="253"/>
      <c r="BI196" s="535">
        <v>188</v>
      </c>
      <c r="BJ196" s="536">
        <v>483.76</v>
      </c>
      <c r="BK196" s="529">
        <v>677.26</v>
      </c>
      <c r="BL196" s="253"/>
    </row>
    <row r="197" spans="1:64" ht="23.25">
      <c r="A197" s="263">
        <v>189</v>
      </c>
      <c r="B197" s="1437">
        <f t="shared" si="4"/>
        <v>417.68</v>
      </c>
      <c r="C197" s="1438">
        <f t="shared" si="5"/>
        <v>584.75</v>
      </c>
      <c r="D197" s="253"/>
      <c r="E197" s="1420">
        <v>189</v>
      </c>
      <c r="F197" s="1421">
        <v>390.16</v>
      </c>
      <c r="G197" s="1414">
        <v>546.22</v>
      </c>
      <c r="H197" s="1404"/>
      <c r="I197" s="1420">
        <v>189</v>
      </c>
      <c r="J197" s="1421">
        <v>397.04</v>
      </c>
      <c r="K197" s="1414">
        <v>555.86</v>
      </c>
      <c r="L197" s="253"/>
      <c r="M197" s="535">
        <v>189</v>
      </c>
      <c r="N197" s="536">
        <v>403.92</v>
      </c>
      <c r="O197" s="529">
        <v>565.49</v>
      </c>
      <c r="P197" s="253"/>
      <c r="Q197" s="535">
        <v>189</v>
      </c>
      <c r="R197" s="536">
        <v>410.8</v>
      </c>
      <c r="S197" s="529">
        <v>575.12</v>
      </c>
      <c r="T197" s="253"/>
      <c r="U197" s="535">
        <v>189</v>
      </c>
      <c r="V197" s="536">
        <v>417.68</v>
      </c>
      <c r="W197" s="529">
        <v>584.75</v>
      </c>
      <c r="X197" s="253"/>
      <c r="Y197" s="535">
        <v>189</v>
      </c>
      <c r="Z197" s="536">
        <v>424.56</v>
      </c>
      <c r="AA197" s="529">
        <v>594.38</v>
      </c>
      <c r="AB197" s="253"/>
      <c r="AC197" s="535">
        <v>189</v>
      </c>
      <c r="AD197" s="536">
        <v>431.44</v>
      </c>
      <c r="AE197" s="529">
        <v>604.01</v>
      </c>
      <c r="AF197" s="253"/>
      <c r="AG197" s="535">
        <v>189</v>
      </c>
      <c r="AH197" s="536">
        <v>438.32</v>
      </c>
      <c r="AI197" s="529">
        <v>613.64</v>
      </c>
      <c r="AJ197" s="253"/>
      <c r="AK197" s="535">
        <v>189</v>
      </c>
      <c r="AL197" s="536">
        <v>445.2</v>
      </c>
      <c r="AM197" s="529">
        <v>623.28</v>
      </c>
      <c r="AN197" s="253"/>
      <c r="AO197" s="535">
        <v>189</v>
      </c>
      <c r="AP197" s="536">
        <v>452.08</v>
      </c>
      <c r="AQ197" s="529">
        <v>632.91</v>
      </c>
      <c r="AR197" s="253"/>
      <c r="AS197" s="535">
        <v>189</v>
      </c>
      <c r="AT197" s="536">
        <v>458.96</v>
      </c>
      <c r="AU197" s="529">
        <v>642.54</v>
      </c>
      <c r="AV197" s="253"/>
      <c r="AW197" s="535">
        <v>189</v>
      </c>
      <c r="AX197" s="536">
        <v>465.84</v>
      </c>
      <c r="AY197" s="529">
        <v>652.16999999999996</v>
      </c>
      <c r="AZ197" s="253"/>
      <c r="BA197" s="535">
        <v>189</v>
      </c>
      <c r="BB197" s="536">
        <v>472.72</v>
      </c>
      <c r="BC197" s="529">
        <v>661.8</v>
      </c>
      <c r="BD197" s="253"/>
      <c r="BE197" s="535">
        <v>189</v>
      </c>
      <c r="BF197" s="536">
        <v>479.59</v>
      </c>
      <c r="BG197" s="529">
        <v>671.43</v>
      </c>
      <c r="BH197" s="253"/>
      <c r="BI197" s="535">
        <v>189</v>
      </c>
      <c r="BJ197" s="536">
        <v>486.47</v>
      </c>
      <c r="BK197" s="529">
        <v>681.06</v>
      </c>
      <c r="BL197" s="253"/>
    </row>
    <row r="198" spans="1:64" ht="23.25">
      <c r="A198" s="263">
        <v>190</v>
      </c>
      <c r="B198" s="1437">
        <f t="shared" si="4"/>
        <v>420.04</v>
      </c>
      <c r="C198" s="1438">
        <f t="shared" si="5"/>
        <v>588.04999999999995</v>
      </c>
      <c r="D198" s="253"/>
      <c r="E198" s="1420">
        <v>190</v>
      </c>
      <c r="F198" s="1421">
        <v>392.37</v>
      </c>
      <c r="G198" s="1414">
        <v>549.32000000000005</v>
      </c>
      <c r="H198" s="1404"/>
      <c r="I198" s="1420">
        <v>190</v>
      </c>
      <c r="J198" s="1421">
        <v>399.29</v>
      </c>
      <c r="K198" s="1414">
        <v>559</v>
      </c>
      <c r="L198" s="253"/>
      <c r="M198" s="535">
        <v>190</v>
      </c>
      <c r="N198" s="536">
        <v>406.2</v>
      </c>
      <c r="O198" s="529">
        <v>568.69000000000005</v>
      </c>
      <c r="P198" s="253"/>
      <c r="Q198" s="535">
        <v>190</v>
      </c>
      <c r="R198" s="536">
        <v>413.12</v>
      </c>
      <c r="S198" s="529">
        <v>578.37</v>
      </c>
      <c r="T198" s="253"/>
      <c r="U198" s="535">
        <v>190</v>
      </c>
      <c r="V198" s="536">
        <v>420.04</v>
      </c>
      <c r="W198" s="529">
        <v>588.04999999999995</v>
      </c>
      <c r="X198" s="253"/>
      <c r="Y198" s="535">
        <v>190</v>
      </c>
      <c r="Z198" s="536">
        <v>426.95</v>
      </c>
      <c r="AA198" s="529">
        <v>597.73</v>
      </c>
      <c r="AB198" s="253"/>
      <c r="AC198" s="535">
        <v>190</v>
      </c>
      <c r="AD198" s="536">
        <v>433.87</v>
      </c>
      <c r="AE198" s="529">
        <v>607.41999999999996</v>
      </c>
      <c r="AF198" s="253"/>
      <c r="AG198" s="535">
        <v>190</v>
      </c>
      <c r="AH198" s="536">
        <v>440.78</v>
      </c>
      <c r="AI198" s="529">
        <v>617.1</v>
      </c>
      <c r="AJ198" s="253"/>
      <c r="AK198" s="535">
        <v>190</v>
      </c>
      <c r="AL198" s="536">
        <v>447.7</v>
      </c>
      <c r="AM198" s="529">
        <v>626.78</v>
      </c>
      <c r="AN198" s="253"/>
      <c r="AO198" s="535">
        <v>190</v>
      </c>
      <c r="AP198" s="536">
        <v>454.62</v>
      </c>
      <c r="AQ198" s="529">
        <v>636.46</v>
      </c>
      <c r="AR198" s="253"/>
      <c r="AS198" s="535">
        <v>190</v>
      </c>
      <c r="AT198" s="536">
        <v>461.53</v>
      </c>
      <c r="AU198" s="529">
        <v>646.15</v>
      </c>
      <c r="AV198" s="253"/>
      <c r="AW198" s="535">
        <v>190</v>
      </c>
      <c r="AX198" s="536">
        <v>468.45</v>
      </c>
      <c r="AY198" s="529">
        <v>655.83</v>
      </c>
      <c r="AZ198" s="253"/>
      <c r="BA198" s="535">
        <v>190</v>
      </c>
      <c r="BB198" s="536">
        <v>475.36</v>
      </c>
      <c r="BC198" s="529">
        <v>665.51</v>
      </c>
      <c r="BD198" s="253"/>
      <c r="BE198" s="535">
        <v>190</v>
      </c>
      <c r="BF198" s="536">
        <v>482.28</v>
      </c>
      <c r="BG198" s="529">
        <v>675.19</v>
      </c>
      <c r="BH198" s="253"/>
      <c r="BI198" s="535">
        <v>190</v>
      </c>
      <c r="BJ198" s="536">
        <v>489.2</v>
      </c>
      <c r="BK198" s="529">
        <v>684.88</v>
      </c>
      <c r="BL198" s="253"/>
    </row>
    <row r="199" spans="1:64" ht="23.25">
      <c r="A199" s="263">
        <v>191</v>
      </c>
      <c r="B199" s="1437">
        <f t="shared" si="4"/>
        <v>422.4</v>
      </c>
      <c r="C199" s="1438">
        <f t="shared" si="5"/>
        <v>591.36</v>
      </c>
      <c r="D199" s="253"/>
      <c r="E199" s="1420">
        <v>191</v>
      </c>
      <c r="F199" s="1421">
        <v>394.59</v>
      </c>
      <c r="G199" s="1414">
        <v>552.42999999999995</v>
      </c>
      <c r="H199" s="1404"/>
      <c r="I199" s="1420">
        <v>191</v>
      </c>
      <c r="J199" s="1421">
        <v>401.55</v>
      </c>
      <c r="K199" s="1414">
        <v>562.16</v>
      </c>
      <c r="L199" s="253"/>
      <c r="M199" s="535">
        <v>191</v>
      </c>
      <c r="N199" s="536">
        <v>408.5</v>
      </c>
      <c r="O199" s="529">
        <v>571.9</v>
      </c>
      <c r="P199" s="253"/>
      <c r="Q199" s="535">
        <v>191</v>
      </c>
      <c r="R199" s="536">
        <v>415.45</v>
      </c>
      <c r="S199" s="529">
        <v>581.63</v>
      </c>
      <c r="T199" s="253"/>
      <c r="U199" s="535">
        <v>191</v>
      </c>
      <c r="V199" s="536">
        <v>422.4</v>
      </c>
      <c r="W199" s="529">
        <v>591.36</v>
      </c>
      <c r="X199" s="253"/>
      <c r="Y199" s="535">
        <v>191</v>
      </c>
      <c r="Z199" s="536">
        <v>429.36</v>
      </c>
      <c r="AA199" s="529">
        <v>601.1</v>
      </c>
      <c r="AB199" s="253"/>
      <c r="AC199" s="535">
        <v>191</v>
      </c>
      <c r="AD199" s="536">
        <v>436.31</v>
      </c>
      <c r="AE199" s="529">
        <v>610.83000000000004</v>
      </c>
      <c r="AF199" s="253"/>
      <c r="AG199" s="535">
        <v>191</v>
      </c>
      <c r="AH199" s="536">
        <v>443.26</v>
      </c>
      <c r="AI199" s="529">
        <v>620.55999999999995</v>
      </c>
      <c r="AJ199" s="253"/>
      <c r="AK199" s="535">
        <v>191</v>
      </c>
      <c r="AL199" s="536">
        <v>450.21</v>
      </c>
      <c r="AM199" s="529">
        <v>630.29999999999995</v>
      </c>
      <c r="AN199" s="253"/>
      <c r="AO199" s="535">
        <v>191</v>
      </c>
      <c r="AP199" s="536">
        <v>457.17</v>
      </c>
      <c r="AQ199" s="529">
        <v>640.03</v>
      </c>
      <c r="AR199" s="253"/>
      <c r="AS199" s="535">
        <v>191</v>
      </c>
      <c r="AT199" s="536">
        <v>464.12</v>
      </c>
      <c r="AU199" s="529">
        <v>649.76</v>
      </c>
      <c r="AV199" s="253"/>
      <c r="AW199" s="535">
        <v>191</v>
      </c>
      <c r="AX199" s="536">
        <v>471.07</v>
      </c>
      <c r="AY199" s="529">
        <v>659.5</v>
      </c>
      <c r="AZ199" s="253"/>
      <c r="BA199" s="535">
        <v>191</v>
      </c>
      <c r="BB199" s="536">
        <v>478.02</v>
      </c>
      <c r="BC199" s="529">
        <v>669.23</v>
      </c>
      <c r="BD199" s="253"/>
      <c r="BE199" s="535">
        <v>191</v>
      </c>
      <c r="BF199" s="536">
        <v>484.97</v>
      </c>
      <c r="BG199" s="529">
        <v>678.96</v>
      </c>
      <c r="BH199" s="253"/>
      <c r="BI199" s="535">
        <v>191</v>
      </c>
      <c r="BJ199" s="536">
        <v>491.93</v>
      </c>
      <c r="BK199" s="529">
        <v>688.7</v>
      </c>
      <c r="BL199" s="253"/>
    </row>
    <row r="200" spans="1:64" ht="23.25">
      <c r="A200" s="263">
        <v>192</v>
      </c>
      <c r="B200" s="1437">
        <f t="shared" si="4"/>
        <v>424.17</v>
      </c>
      <c r="C200" s="1438">
        <f t="shared" si="5"/>
        <v>593.83000000000004</v>
      </c>
      <c r="D200" s="253"/>
      <c r="E200" s="1420">
        <v>192</v>
      </c>
      <c r="F200" s="1421">
        <v>396.21</v>
      </c>
      <c r="G200" s="1414">
        <v>554.69000000000005</v>
      </c>
      <c r="H200" s="1404"/>
      <c r="I200" s="1420">
        <v>192</v>
      </c>
      <c r="J200" s="1421">
        <v>403.2</v>
      </c>
      <c r="K200" s="1414">
        <v>564.48</v>
      </c>
      <c r="L200" s="253"/>
      <c r="M200" s="535">
        <v>192</v>
      </c>
      <c r="N200" s="536">
        <v>410.19</v>
      </c>
      <c r="O200" s="529">
        <v>574.26</v>
      </c>
      <c r="P200" s="253"/>
      <c r="Q200" s="535">
        <v>192</v>
      </c>
      <c r="R200" s="536">
        <v>417.18</v>
      </c>
      <c r="S200" s="529">
        <v>584.04999999999995</v>
      </c>
      <c r="T200" s="253"/>
      <c r="U200" s="535">
        <v>192</v>
      </c>
      <c r="V200" s="536">
        <v>424.17</v>
      </c>
      <c r="W200" s="529">
        <v>593.83000000000004</v>
      </c>
      <c r="X200" s="253"/>
      <c r="Y200" s="535">
        <v>192</v>
      </c>
      <c r="Z200" s="536">
        <v>431.15</v>
      </c>
      <c r="AA200" s="529">
        <v>603.62</v>
      </c>
      <c r="AB200" s="253"/>
      <c r="AC200" s="535">
        <v>192</v>
      </c>
      <c r="AD200" s="536">
        <v>438.14</v>
      </c>
      <c r="AE200" s="529">
        <v>613.4</v>
      </c>
      <c r="AF200" s="253"/>
      <c r="AG200" s="535">
        <v>192</v>
      </c>
      <c r="AH200" s="536">
        <v>445.13</v>
      </c>
      <c r="AI200" s="529">
        <v>623.17999999999995</v>
      </c>
      <c r="AJ200" s="253"/>
      <c r="AK200" s="535">
        <v>192</v>
      </c>
      <c r="AL200" s="536">
        <v>452.12</v>
      </c>
      <c r="AM200" s="529">
        <v>632.97</v>
      </c>
      <c r="AN200" s="253"/>
      <c r="AO200" s="535">
        <v>192</v>
      </c>
      <c r="AP200" s="536">
        <v>459.11</v>
      </c>
      <c r="AQ200" s="529">
        <v>642.75</v>
      </c>
      <c r="AR200" s="253"/>
      <c r="AS200" s="535">
        <v>192</v>
      </c>
      <c r="AT200" s="536">
        <v>466.1</v>
      </c>
      <c r="AU200" s="529">
        <v>652.54</v>
      </c>
      <c r="AV200" s="253"/>
      <c r="AW200" s="535">
        <v>192</v>
      </c>
      <c r="AX200" s="536">
        <v>473.09</v>
      </c>
      <c r="AY200" s="529">
        <v>662.32</v>
      </c>
      <c r="AZ200" s="253"/>
      <c r="BA200" s="535">
        <v>192</v>
      </c>
      <c r="BB200" s="536">
        <v>480.08</v>
      </c>
      <c r="BC200" s="529">
        <v>672.11</v>
      </c>
      <c r="BD200" s="253"/>
      <c r="BE200" s="535">
        <v>192</v>
      </c>
      <c r="BF200" s="536">
        <v>487.06</v>
      </c>
      <c r="BG200" s="529">
        <v>681.89</v>
      </c>
      <c r="BH200" s="253"/>
      <c r="BI200" s="535">
        <v>192</v>
      </c>
      <c r="BJ200" s="536">
        <v>494.05</v>
      </c>
      <c r="BK200" s="529">
        <v>691.67</v>
      </c>
      <c r="BL200" s="253"/>
    </row>
    <row r="201" spans="1:64" ht="23.25">
      <c r="A201" s="263">
        <v>193</v>
      </c>
      <c r="B201" s="1437">
        <f t="shared" si="4"/>
        <v>426.54</v>
      </c>
      <c r="C201" s="1438">
        <f t="shared" si="5"/>
        <v>597.16</v>
      </c>
      <c r="D201" s="253"/>
      <c r="E201" s="1420">
        <v>193</v>
      </c>
      <c r="F201" s="1421">
        <v>398.44</v>
      </c>
      <c r="G201" s="1414">
        <v>557.82000000000005</v>
      </c>
      <c r="H201" s="1404"/>
      <c r="I201" s="1420">
        <v>193</v>
      </c>
      <c r="J201" s="1421">
        <v>405.46</v>
      </c>
      <c r="K201" s="1414">
        <v>567.65</v>
      </c>
      <c r="L201" s="253"/>
      <c r="M201" s="535">
        <v>193</v>
      </c>
      <c r="N201" s="536">
        <v>412.49</v>
      </c>
      <c r="O201" s="529">
        <v>577.49</v>
      </c>
      <c r="P201" s="253"/>
      <c r="Q201" s="535">
        <v>193</v>
      </c>
      <c r="R201" s="536">
        <v>419.52</v>
      </c>
      <c r="S201" s="529">
        <v>587.32000000000005</v>
      </c>
      <c r="T201" s="253"/>
      <c r="U201" s="535">
        <v>193</v>
      </c>
      <c r="V201" s="536">
        <v>426.54</v>
      </c>
      <c r="W201" s="529">
        <v>597.16</v>
      </c>
      <c r="X201" s="253"/>
      <c r="Y201" s="535">
        <v>193</v>
      </c>
      <c r="Z201" s="536">
        <v>433.57</v>
      </c>
      <c r="AA201" s="529">
        <v>606.99</v>
      </c>
      <c r="AB201" s="253"/>
      <c r="AC201" s="535">
        <v>193</v>
      </c>
      <c r="AD201" s="536">
        <v>440.59</v>
      </c>
      <c r="AE201" s="529">
        <v>616.83000000000004</v>
      </c>
      <c r="AF201" s="253"/>
      <c r="AG201" s="535">
        <v>193</v>
      </c>
      <c r="AH201" s="536">
        <v>447.62</v>
      </c>
      <c r="AI201" s="529">
        <v>626.66</v>
      </c>
      <c r="AJ201" s="253"/>
      <c r="AK201" s="535">
        <v>193</v>
      </c>
      <c r="AL201" s="536">
        <v>454.64</v>
      </c>
      <c r="AM201" s="529">
        <v>636.5</v>
      </c>
      <c r="AN201" s="253"/>
      <c r="AO201" s="535">
        <v>193</v>
      </c>
      <c r="AP201" s="536">
        <v>461.67</v>
      </c>
      <c r="AQ201" s="529">
        <v>646.33000000000004</v>
      </c>
      <c r="AR201" s="253"/>
      <c r="AS201" s="535">
        <v>193</v>
      </c>
      <c r="AT201" s="536">
        <v>468.69</v>
      </c>
      <c r="AU201" s="529">
        <v>656.17</v>
      </c>
      <c r="AV201" s="253"/>
      <c r="AW201" s="535">
        <v>193</v>
      </c>
      <c r="AX201" s="536">
        <v>475.72</v>
      </c>
      <c r="AY201" s="529">
        <v>666</v>
      </c>
      <c r="AZ201" s="253"/>
      <c r="BA201" s="535">
        <v>193</v>
      </c>
      <c r="BB201" s="536">
        <v>482.74</v>
      </c>
      <c r="BC201" s="529">
        <v>675.84</v>
      </c>
      <c r="BD201" s="253"/>
      <c r="BE201" s="535">
        <v>193</v>
      </c>
      <c r="BF201" s="536">
        <v>489.77</v>
      </c>
      <c r="BG201" s="529">
        <v>685.67</v>
      </c>
      <c r="BH201" s="253"/>
      <c r="BI201" s="535">
        <v>193</v>
      </c>
      <c r="BJ201" s="536">
        <v>496.79</v>
      </c>
      <c r="BK201" s="529">
        <v>695.51</v>
      </c>
      <c r="BL201" s="253"/>
    </row>
    <row r="202" spans="1:64" ht="23.25">
      <c r="A202" s="263">
        <v>194</v>
      </c>
      <c r="B202" s="1437">
        <f t="shared" ref="B202:B209" si="6">IF($C$5=$G$5,F202,IF($C$5=$K$5,J202,IF($C$5=$O$5,N202,IF($C$5=$S$5,R202,IF($C$5=$W$5,V202,IF($C$5=$AA$5,Z202,IF($C$5=$AE$5,AD202,IF($C$5=$AI$5,AH202,IF($C$5=$AM$5,AL202,IF($C$5=$AQ$5,AP202,IF($C$5=$AU$5,AT202,IF($C$5=$AY$5,AX202,IF($C$5=$BC$5,BB202,IF($C$5=$BG$5,BF202,IF($C$5=$BK$5,BJ202,0)))))))))))))))</f>
        <v>428.92</v>
      </c>
      <c r="C202" s="1438">
        <f t="shared" ref="C202:C209" si="7">IF($C$5=$G$5,G202,IF($C$5=$K$5,K202,IF($C$5=$O$5,O202,IF($C$5=$S$5,S202,IF($C$5=$W$5,W202,IF($C$5=$AA$5,AA202,IF($C$5=$AE$5,AE202,IF($C$5=$AI$5,AI202,IF($C$5=$AM$5,AM202,IF($C$5=$AQ$5,AQ202,IF($C$5=$AU$5,AU202,IF($C$5=$AY$5,AY202,IF($C$5=$BC$5,BC202,IF($C$5=$BG$5,BG202,IF($C$5=$BK$5,BK202,0)))))))))))))))</f>
        <v>600.49</v>
      </c>
      <c r="D202" s="253"/>
      <c r="E202" s="1420">
        <v>194</v>
      </c>
      <c r="F202" s="1421">
        <v>400.68</v>
      </c>
      <c r="G202" s="1414">
        <v>560.95000000000005</v>
      </c>
      <c r="H202" s="1404"/>
      <c r="I202" s="1420">
        <v>194</v>
      </c>
      <c r="J202" s="1421">
        <v>407.74</v>
      </c>
      <c r="K202" s="1414">
        <v>570.84</v>
      </c>
      <c r="L202" s="253"/>
      <c r="M202" s="535">
        <v>194</v>
      </c>
      <c r="N202" s="536">
        <v>414.8</v>
      </c>
      <c r="O202" s="529">
        <v>580.72</v>
      </c>
      <c r="P202" s="253"/>
      <c r="Q202" s="535">
        <v>194</v>
      </c>
      <c r="R202" s="536">
        <v>421.86</v>
      </c>
      <c r="S202" s="529">
        <v>590.61</v>
      </c>
      <c r="T202" s="253"/>
      <c r="U202" s="535">
        <v>194</v>
      </c>
      <c r="V202" s="536">
        <v>428.92</v>
      </c>
      <c r="W202" s="529">
        <v>600.49</v>
      </c>
      <c r="X202" s="253"/>
      <c r="Y202" s="535">
        <v>194</v>
      </c>
      <c r="Z202" s="536">
        <v>435.99</v>
      </c>
      <c r="AA202" s="529">
        <v>610.38</v>
      </c>
      <c r="AB202" s="253"/>
      <c r="AC202" s="535">
        <v>194</v>
      </c>
      <c r="AD202" s="536">
        <v>443.05</v>
      </c>
      <c r="AE202" s="529">
        <v>620.27</v>
      </c>
      <c r="AF202" s="253"/>
      <c r="AG202" s="535">
        <v>194</v>
      </c>
      <c r="AH202" s="536">
        <v>450.11</v>
      </c>
      <c r="AI202" s="529">
        <v>630.15</v>
      </c>
      <c r="AJ202" s="253"/>
      <c r="AK202" s="535">
        <v>194</v>
      </c>
      <c r="AL202" s="536">
        <v>457.17</v>
      </c>
      <c r="AM202" s="529">
        <v>640.04</v>
      </c>
      <c r="AN202" s="253"/>
      <c r="AO202" s="535">
        <v>194</v>
      </c>
      <c r="AP202" s="536">
        <v>464.93</v>
      </c>
      <c r="AQ202" s="529">
        <v>649.92999999999995</v>
      </c>
      <c r="AR202" s="253"/>
      <c r="AS202" s="535">
        <v>194</v>
      </c>
      <c r="AT202" s="536">
        <v>471.29</v>
      </c>
      <c r="AU202" s="529">
        <v>659.81</v>
      </c>
      <c r="AV202" s="253"/>
      <c r="AW202" s="535">
        <v>194</v>
      </c>
      <c r="AX202" s="536">
        <v>478.36</v>
      </c>
      <c r="AY202" s="529">
        <v>669.7</v>
      </c>
      <c r="AZ202" s="253"/>
      <c r="BA202" s="535">
        <v>194</v>
      </c>
      <c r="BB202" s="536">
        <v>485.42</v>
      </c>
      <c r="BC202" s="529">
        <v>679.58</v>
      </c>
      <c r="BD202" s="253"/>
      <c r="BE202" s="535">
        <v>194</v>
      </c>
      <c r="BF202" s="536">
        <v>492.48</v>
      </c>
      <c r="BG202" s="529">
        <v>689.47</v>
      </c>
      <c r="BH202" s="253"/>
      <c r="BI202" s="535">
        <v>194</v>
      </c>
      <c r="BJ202" s="536">
        <v>499.54</v>
      </c>
      <c r="BK202" s="529">
        <v>699.36</v>
      </c>
      <c r="BL202" s="253"/>
    </row>
    <row r="203" spans="1:64" ht="23.25">
      <c r="A203" s="263">
        <v>195</v>
      </c>
      <c r="B203" s="1437">
        <f t="shared" si="6"/>
        <v>431.32</v>
      </c>
      <c r="C203" s="1438">
        <f t="shared" si="7"/>
        <v>603.84</v>
      </c>
      <c r="D203" s="253"/>
      <c r="E203" s="1420">
        <v>195</v>
      </c>
      <c r="F203" s="1421">
        <v>402.93</v>
      </c>
      <c r="G203" s="1414">
        <v>564.1</v>
      </c>
      <c r="H203" s="1404"/>
      <c r="I203" s="1420">
        <v>195</v>
      </c>
      <c r="J203" s="1421">
        <v>410.02</v>
      </c>
      <c r="K203" s="1414">
        <v>574.03</v>
      </c>
      <c r="L203" s="253"/>
      <c r="M203" s="535">
        <v>195</v>
      </c>
      <c r="N203" s="536">
        <v>417.12</v>
      </c>
      <c r="O203" s="529">
        <v>583.97</v>
      </c>
      <c r="P203" s="253"/>
      <c r="Q203" s="535">
        <v>195</v>
      </c>
      <c r="R203" s="536">
        <v>424.22</v>
      </c>
      <c r="S203" s="529">
        <v>593.91</v>
      </c>
      <c r="T203" s="253"/>
      <c r="U203" s="535">
        <v>195</v>
      </c>
      <c r="V203" s="536">
        <v>431.32</v>
      </c>
      <c r="W203" s="529">
        <v>603.84</v>
      </c>
      <c r="X203" s="253"/>
      <c r="Y203" s="535">
        <v>195</v>
      </c>
      <c r="Z203" s="536">
        <v>438.42</v>
      </c>
      <c r="AA203" s="529">
        <v>613.78</v>
      </c>
      <c r="AB203" s="253"/>
      <c r="AC203" s="535">
        <v>195</v>
      </c>
      <c r="AD203" s="536">
        <v>445.51</v>
      </c>
      <c r="AE203" s="529">
        <v>623.72</v>
      </c>
      <c r="AF203" s="253"/>
      <c r="AG203" s="535">
        <v>195</v>
      </c>
      <c r="AH203" s="536">
        <v>452.61</v>
      </c>
      <c r="AI203" s="529">
        <v>633.66</v>
      </c>
      <c r="AJ203" s="253"/>
      <c r="AK203" s="535">
        <v>195</v>
      </c>
      <c r="AL203" s="536">
        <v>459.71</v>
      </c>
      <c r="AM203" s="529">
        <v>643.59</v>
      </c>
      <c r="AN203" s="253"/>
      <c r="AO203" s="535">
        <v>195</v>
      </c>
      <c r="AP203" s="536">
        <v>466.81</v>
      </c>
      <c r="AQ203" s="529">
        <v>653.53</v>
      </c>
      <c r="AR203" s="253"/>
      <c r="AS203" s="535">
        <v>195</v>
      </c>
      <c r="AT203" s="536">
        <v>473.91</v>
      </c>
      <c r="AU203" s="529">
        <v>663.47</v>
      </c>
      <c r="AV203" s="253"/>
      <c r="AW203" s="535">
        <v>195</v>
      </c>
      <c r="AX203" s="536">
        <v>481</v>
      </c>
      <c r="AY203" s="529">
        <v>673.41</v>
      </c>
      <c r="AZ203" s="253"/>
      <c r="BA203" s="535">
        <v>195</v>
      </c>
      <c r="BB203" s="536">
        <v>488.1</v>
      </c>
      <c r="BC203" s="529">
        <v>683.34</v>
      </c>
      <c r="BD203" s="253"/>
      <c r="BE203" s="535">
        <v>195</v>
      </c>
      <c r="BF203" s="536">
        <v>495.2</v>
      </c>
      <c r="BG203" s="529">
        <v>693.28</v>
      </c>
      <c r="BH203" s="253"/>
      <c r="BI203" s="535">
        <v>195</v>
      </c>
      <c r="BJ203" s="536">
        <v>502.3</v>
      </c>
      <c r="BK203" s="529">
        <v>703.22</v>
      </c>
      <c r="BL203" s="253"/>
    </row>
    <row r="204" spans="1:64" ht="23.25">
      <c r="A204" s="263">
        <v>196</v>
      </c>
      <c r="B204" s="1437">
        <f t="shared" si="6"/>
        <v>433.08</v>
      </c>
      <c r="C204" s="1438">
        <f t="shared" si="7"/>
        <v>606</v>
      </c>
      <c r="D204" s="253"/>
      <c r="E204" s="1420">
        <v>196</v>
      </c>
      <c r="F204" s="1421">
        <v>404.54</v>
      </c>
      <c r="G204" s="1414">
        <v>566.36</v>
      </c>
      <c r="H204" s="1404"/>
      <c r="I204" s="1420">
        <v>196</v>
      </c>
      <c r="J204" s="1421">
        <v>411.68</v>
      </c>
      <c r="K204" s="1414">
        <v>576.35</v>
      </c>
      <c r="L204" s="253"/>
      <c r="M204" s="535">
        <v>196</v>
      </c>
      <c r="N204" s="536">
        <v>418.81</v>
      </c>
      <c r="O204" s="529">
        <v>586.34</v>
      </c>
      <c r="P204" s="253"/>
      <c r="Q204" s="535">
        <v>196</v>
      </c>
      <c r="R204" s="536">
        <v>425.95</v>
      </c>
      <c r="S204" s="529">
        <v>596.32000000000005</v>
      </c>
      <c r="T204" s="253"/>
      <c r="U204" s="535">
        <v>196</v>
      </c>
      <c r="V204" s="536">
        <v>433.08</v>
      </c>
      <c r="W204" s="529">
        <v>606</v>
      </c>
      <c r="X204" s="253"/>
      <c r="Y204" s="535">
        <v>196</v>
      </c>
      <c r="Z204" s="536">
        <v>440.21</v>
      </c>
      <c r="AA204" s="529">
        <v>616.29999999999995</v>
      </c>
      <c r="AB204" s="253"/>
      <c r="AC204" s="535">
        <v>196</v>
      </c>
      <c r="AD204" s="536">
        <v>447.35</v>
      </c>
      <c r="AE204" s="529">
        <v>626.29</v>
      </c>
      <c r="AF204" s="253"/>
      <c r="AG204" s="535">
        <v>196</v>
      </c>
      <c r="AH204" s="536">
        <v>454.48</v>
      </c>
      <c r="AI204" s="529">
        <v>636.28</v>
      </c>
      <c r="AJ204" s="253"/>
      <c r="AK204" s="535">
        <v>196</v>
      </c>
      <c r="AL204" s="536">
        <v>461.62</v>
      </c>
      <c r="AM204" s="529">
        <v>646.26</v>
      </c>
      <c r="AN204" s="253"/>
      <c r="AO204" s="535">
        <v>196</v>
      </c>
      <c r="AP204" s="536">
        <v>468.75</v>
      </c>
      <c r="AQ204" s="529">
        <v>656.25</v>
      </c>
      <c r="AR204" s="253"/>
      <c r="AS204" s="535">
        <v>196</v>
      </c>
      <c r="AT204" s="536">
        <v>475.89</v>
      </c>
      <c r="AU204" s="529">
        <v>666.24</v>
      </c>
      <c r="AV204" s="253"/>
      <c r="AW204" s="535">
        <v>196</v>
      </c>
      <c r="AX204" s="536">
        <v>483.02</v>
      </c>
      <c r="AY204" s="529">
        <v>676.23</v>
      </c>
      <c r="AZ204" s="253"/>
      <c r="BA204" s="535">
        <v>196</v>
      </c>
      <c r="BB204" s="536">
        <v>490.16</v>
      </c>
      <c r="BC204" s="529">
        <v>686.22</v>
      </c>
      <c r="BD204" s="253"/>
      <c r="BE204" s="535">
        <v>196</v>
      </c>
      <c r="BF204" s="536">
        <v>497.29</v>
      </c>
      <c r="BG204" s="529">
        <v>696.21</v>
      </c>
      <c r="BH204" s="253"/>
      <c r="BI204" s="535">
        <v>196</v>
      </c>
      <c r="BJ204" s="536">
        <v>504.42</v>
      </c>
      <c r="BK204" s="529">
        <v>706.19</v>
      </c>
      <c r="BL204" s="253"/>
    </row>
    <row r="205" spans="1:64" ht="23.25">
      <c r="A205" s="263">
        <v>197</v>
      </c>
      <c r="B205" s="1437">
        <f t="shared" si="6"/>
        <v>435.48</v>
      </c>
      <c r="C205" s="1438">
        <f t="shared" si="7"/>
        <v>609.67999999999995</v>
      </c>
      <c r="D205" s="253"/>
      <c r="E205" s="1420">
        <v>197</v>
      </c>
      <c r="F205" s="1421">
        <v>406.8</v>
      </c>
      <c r="G205" s="1414">
        <v>569.52</v>
      </c>
      <c r="H205" s="1404"/>
      <c r="I205" s="1420">
        <v>197</v>
      </c>
      <c r="J205" s="1421">
        <v>413.97</v>
      </c>
      <c r="K205" s="1414">
        <v>579.55999999999995</v>
      </c>
      <c r="L205" s="253"/>
      <c r="M205" s="535">
        <v>197</v>
      </c>
      <c r="N205" s="536">
        <v>421.14</v>
      </c>
      <c r="O205" s="529">
        <v>589.6</v>
      </c>
      <c r="P205" s="253"/>
      <c r="Q205" s="535">
        <v>197</v>
      </c>
      <c r="R205" s="536">
        <v>428.31</v>
      </c>
      <c r="S205" s="529">
        <v>599.64</v>
      </c>
      <c r="T205" s="253"/>
      <c r="U205" s="535">
        <v>197</v>
      </c>
      <c r="V205" s="536">
        <v>435.48</v>
      </c>
      <c r="W205" s="529">
        <v>609.67999999999995</v>
      </c>
      <c r="X205" s="253"/>
      <c r="Y205" s="535">
        <v>197</v>
      </c>
      <c r="Z205" s="536">
        <v>442.65</v>
      </c>
      <c r="AA205" s="529">
        <v>619.71</v>
      </c>
      <c r="AB205" s="253"/>
      <c r="AC205" s="535">
        <v>197</v>
      </c>
      <c r="AD205" s="536">
        <v>449.82</v>
      </c>
      <c r="AE205" s="529">
        <v>629.75</v>
      </c>
      <c r="AF205" s="253"/>
      <c r="AG205" s="535">
        <v>197</v>
      </c>
      <c r="AH205" s="536">
        <v>456.99</v>
      </c>
      <c r="AI205" s="529">
        <v>639.79</v>
      </c>
      <c r="AJ205" s="253"/>
      <c r="AK205" s="535">
        <v>197</v>
      </c>
      <c r="AL205" s="536">
        <v>464.17</v>
      </c>
      <c r="AM205" s="529">
        <v>649.83000000000004</v>
      </c>
      <c r="AN205" s="253"/>
      <c r="AO205" s="535">
        <v>197</v>
      </c>
      <c r="AP205" s="536">
        <v>471.34</v>
      </c>
      <c r="AQ205" s="529">
        <v>659.87</v>
      </c>
      <c r="AR205" s="253"/>
      <c r="AS205" s="535">
        <v>197</v>
      </c>
      <c r="AT205" s="536">
        <v>478.51</v>
      </c>
      <c r="AU205" s="529">
        <v>669.91</v>
      </c>
      <c r="AV205" s="253"/>
      <c r="AW205" s="535">
        <v>197</v>
      </c>
      <c r="AX205" s="536">
        <v>485.68</v>
      </c>
      <c r="AY205" s="529">
        <v>679.95</v>
      </c>
      <c r="AZ205" s="253"/>
      <c r="BA205" s="535">
        <v>197</v>
      </c>
      <c r="BB205" s="536">
        <v>492.85</v>
      </c>
      <c r="BC205" s="529">
        <v>689.99</v>
      </c>
      <c r="BD205" s="253"/>
      <c r="BE205" s="535">
        <v>197</v>
      </c>
      <c r="BF205" s="536">
        <v>500.02</v>
      </c>
      <c r="BG205" s="529">
        <v>700.03</v>
      </c>
      <c r="BH205" s="253"/>
      <c r="BI205" s="535">
        <v>197</v>
      </c>
      <c r="BJ205" s="536">
        <v>507.19</v>
      </c>
      <c r="BK205" s="529">
        <v>710.07</v>
      </c>
      <c r="BL205" s="253"/>
    </row>
    <row r="206" spans="1:64" ht="23.25">
      <c r="A206" s="263">
        <v>198</v>
      </c>
      <c r="B206" s="1437">
        <f t="shared" si="6"/>
        <v>437.89</v>
      </c>
      <c r="C206" s="1438">
        <f t="shared" si="7"/>
        <v>613.04999999999995</v>
      </c>
      <c r="D206" s="253"/>
      <c r="E206" s="1420">
        <v>198</v>
      </c>
      <c r="F206" s="1421">
        <v>409.07</v>
      </c>
      <c r="G206" s="1414">
        <v>572.69000000000005</v>
      </c>
      <c r="H206" s="1404"/>
      <c r="I206" s="1420">
        <v>198</v>
      </c>
      <c r="J206" s="1421">
        <v>416.27</v>
      </c>
      <c r="K206" s="1414">
        <v>582.78</v>
      </c>
      <c r="L206" s="253"/>
      <c r="M206" s="535">
        <v>198</v>
      </c>
      <c r="N206" s="536">
        <v>423.48</v>
      </c>
      <c r="O206" s="529">
        <v>592.87</v>
      </c>
      <c r="P206" s="253"/>
      <c r="Q206" s="535">
        <v>198</v>
      </c>
      <c r="R206" s="536">
        <v>430.69</v>
      </c>
      <c r="S206" s="529">
        <v>602.96</v>
      </c>
      <c r="T206" s="253"/>
      <c r="U206" s="535">
        <v>198</v>
      </c>
      <c r="V206" s="536">
        <v>437.89</v>
      </c>
      <c r="W206" s="529">
        <v>613.04999999999995</v>
      </c>
      <c r="X206" s="253"/>
      <c r="Y206" s="535">
        <v>198</v>
      </c>
      <c r="Z206" s="536">
        <v>445.1</v>
      </c>
      <c r="AA206" s="529">
        <v>623.14</v>
      </c>
      <c r="AB206" s="253"/>
      <c r="AC206" s="535">
        <v>198</v>
      </c>
      <c r="AD206" s="536">
        <v>452.31</v>
      </c>
      <c r="AE206" s="529">
        <v>633.23</v>
      </c>
      <c r="AF206" s="253"/>
      <c r="AG206" s="535">
        <v>198</v>
      </c>
      <c r="AH206" s="536">
        <v>461.39</v>
      </c>
      <c r="AI206" s="529">
        <v>645.94000000000005</v>
      </c>
      <c r="AJ206" s="253"/>
      <c r="AK206" s="535">
        <v>198</v>
      </c>
      <c r="AL206" s="536">
        <v>466.72</v>
      </c>
      <c r="AM206" s="529">
        <v>653.41</v>
      </c>
      <c r="AN206" s="253"/>
      <c r="AO206" s="535">
        <v>198</v>
      </c>
      <c r="AP206" s="536">
        <v>473.93</v>
      </c>
      <c r="AQ206" s="529">
        <v>663.5</v>
      </c>
      <c r="AR206" s="253"/>
      <c r="AS206" s="535">
        <v>198</v>
      </c>
      <c r="AT206" s="536">
        <v>481.14</v>
      </c>
      <c r="AU206" s="529">
        <v>673.59</v>
      </c>
      <c r="AV206" s="253"/>
      <c r="AW206" s="535">
        <v>198</v>
      </c>
      <c r="AX206" s="536">
        <v>488.34</v>
      </c>
      <c r="AY206" s="529">
        <v>683.68</v>
      </c>
      <c r="AZ206" s="253"/>
      <c r="BA206" s="535">
        <v>198</v>
      </c>
      <c r="BB206" s="536">
        <v>495.55</v>
      </c>
      <c r="BC206" s="529">
        <v>693.77</v>
      </c>
      <c r="BD206" s="253"/>
      <c r="BE206" s="535">
        <v>198</v>
      </c>
      <c r="BF206" s="536">
        <v>502.76</v>
      </c>
      <c r="BG206" s="529">
        <v>703.86</v>
      </c>
      <c r="BH206" s="253"/>
      <c r="BI206" s="535">
        <v>198</v>
      </c>
      <c r="BJ206" s="536">
        <v>509.97</v>
      </c>
      <c r="BK206" s="529">
        <v>713.95</v>
      </c>
      <c r="BL206" s="253"/>
    </row>
    <row r="207" spans="1:64" ht="23.25">
      <c r="A207" s="263">
        <v>199</v>
      </c>
      <c r="B207" s="1437">
        <f t="shared" si="6"/>
        <v>439.66</v>
      </c>
      <c r="C207" s="1438">
        <f t="shared" si="7"/>
        <v>615.52</v>
      </c>
      <c r="D207" s="253"/>
      <c r="E207" s="1420">
        <v>199</v>
      </c>
      <c r="F207" s="1421">
        <v>410.68</v>
      </c>
      <c r="G207" s="1414">
        <v>574.95000000000005</v>
      </c>
      <c r="H207" s="1404"/>
      <c r="I207" s="1420">
        <v>199</v>
      </c>
      <c r="J207" s="1421">
        <v>417.93</v>
      </c>
      <c r="K207" s="1414">
        <v>585.1</v>
      </c>
      <c r="L207" s="253"/>
      <c r="M207" s="535">
        <v>199</v>
      </c>
      <c r="N207" s="536">
        <v>425.17</v>
      </c>
      <c r="O207" s="529">
        <v>595.24</v>
      </c>
      <c r="P207" s="253"/>
      <c r="Q207" s="535">
        <v>199</v>
      </c>
      <c r="R207" s="536">
        <v>432.41</v>
      </c>
      <c r="S207" s="529">
        <v>605.38</v>
      </c>
      <c r="T207" s="253"/>
      <c r="U207" s="535">
        <v>199</v>
      </c>
      <c r="V207" s="536">
        <v>439.66</v>
      </c>
      <c r="W207" s="529">
        <v>615.52</v>
      </c>
      <c r="X207" s="253"/>
      <c r="Y207" s="535">
        <v>199</v>
      </c>
      <c r="Z207" s="536">
        <v>446.9</v>
      </c>
      <c r="AA207" s="529">
        <v>625.66</v>
      </c>
      <c r="AB207" s="253"/>
      <c r="AC207" s="535">
        <v>199</v>
      </c>
      <c r="AD207" s="536">
        <v>454.14</v>
      </c>
      <c r="AE207" s="529">
        <v>635.79999999999995</v>
      </c>
      <c r="AF207" s="253"/>
      <c r="AG207" s="535">
        <v>199</v>
      </c>
      <c r="AH207" s="536">
        <v>461.39</v>
      </c>
      <c r="AI207" s="529">
        <v>645.94000000000005</v>
      </c>
      <c r="AJ207" s="253"/>
      <c r="AK207" s="535">
        <v>199</v>
      </c>
      <c r="AL207" s="536">
        <v>468.63</v>
      </c>
      <c r="AM207" s="529">
        <v>535.08000000000004</v>
      </c>
      <c r="AN207" s="253"/>
      <c r="AO207" s="535">
        <v>199</v>
      </c>
      <c r="AP207" s="536">
        <v>475.87</v>
      </c>
      <c r="AQ207" s="529">
        <v>666.22</v>
      </c>
      <c r="AR207" s="253"/>
      <c r="AS207" s="535">
        <v>199</v>
      </c>
      <c r="AT207" s="536">
        <v>483.12</v>
      </c>
      <c r="AU207" s="529">
        <v>676.36</v>
      </c>
      <c r="AV207" s="253"/>
      <c r="AW207" s="535">
        <v>199</v>
      </c>
      <c r="AX207" s="536">
        <v>490.36</v>
      </c>
      <c r="AY207" s="529">
        <v>686.51</v>
      </c>
      <c r="AZ207" s="253"/>
      <c r="BA207" s="535">
        <v>199</v>
      </c>
      <c r="BB207" s="536">
        <v>497.6</v>
      </c>
      <c r="BC207" s="529">
        <v>696.65</v>
      </c>
      <c r="BD207" s="253"/>
      <c r="BE207" s="535">
        <v>199</v>
      </c>
      <c r="BF207" s="536">
        <v>504.85</v>
      </c>
      <c r="BG207" s="529">
        <v>706.79</v>
      </c>
      <c r="BH207" s="253"/>
      <c r="BI207" s="535">
        <v>199</v>
      </c>
      <c r="BJ207" s="536">
        <v>512.09</v>
      </c>
      <c r="BK207" s="529">
        <v>716.93</v>
      </c>
      <c r="BL207" s="253"/>
    </row>
    <row r="208" spans="1:64" ht="23.25">
      <c r="A208" s="264">
        <v>200</v>
      </c>
      <c r="B208" s="1437">
        <f t="shared" si="6"/>
        <v>442.08</v>
      </c>
      <c r="C208" s="1438">
        <f t="shared" si="7"/>
        <v>618.91</v>
      </c>
      <c r="D208" s="253"/>
      <c r="E208" s="1420">
        <v>200</v>
      </c>
      <c r="F208" s="1421">
        <v>412.96</v>
      </c>
      <c r="G208" s="1414">
        <v>578.14</v>
      </c>
      <c r="H208" s="1404"/>
      <c r="I208" s="1420">
        <v>200</v>
      </c>
      <c r="J208" s="1421">
        <v>420.24</v>
      </c>
      <c r="K208" s="1414">
        <v>588.33000000000004</v>
      </c>
      <c r="L208" s="253"/>
      <c r="M208" s="535">
        <v>200</v>
      </c>
      <c r="N208" s="536">
        <v>427.52</v>
      </c>
      <c r="O208" s="529">
        <v>598.52</v>
      </c>
      <c r="P208" s="253"/>
      <c r="Q208" s="535">
        <v>200</v>
      </c>
      <c r="R208" s="536">
        <v>434.8</v>
      </c>
      <c r="S208" s="529">
        <v>608.72</v>
      </c>
      <c r="T208" s="253"/>
      <c r="U208" s="535">
        <v>200</v>
      </c>
      <c r="V208" s="536">
        <v>442.08</v>
      </c>
      <c r="W208" s="529">
        <v>618.91</v>
      </c>
      <c r="X208" s="253"/>
      <c r="Y208" s="535">
        <v>200</v>
      </c>
      <c r="Z208" s="536">
        <v>449.36</v>
      </c>
      <c r="AA208" s="529">
        <v>629.1</v>
      </c>
      <c r="AB208" s="253"/>
      <c r="AC208" s="535">
        <v>200</v>
      </c>
      <c r="AD208" s="536">
        <v>456.64</v>
      </c>
      <c r="AE208" s="529">
        <v>639.29</v>
      </c>
      <c r="AF208" s="253"/>
      <c r="AG208" s="535">
        <v>200</v>
      </c>
      <c r="AH208" s="536">
        <v>463.92</v>
      </c>
      <c r="AI208" s="529">
        <v>649.48</v>
      </c>
      <c r="AJ208" s="253"/>
      <c r="AK208" s="535">
        <v>200</v>
      </c>
      <c r="AL208" s="536">
        <v>471.2</v>
      </c>
      <c r="AM208" s="529">
        <v>659.68</v>
      </c>
      <c r="AN208" s="253"/>
      <c r="AO208" s="535">
        <v>200</v>
      </c>
      <c r="AP208" s="536">
        <v>478.48</v>
      </c>
      <c r="AQ208" s="529" t="s">
        <v>1817</v>
      </c>
      <c r="AR208" s="253"/>
      <c r="AS208" s="535">
        <v>200</v>
      </c>
      <c r="AT208" s="536">
        <v>484.76</v>
      </c>
      <c r="AU208" s="529">
        <v>680.06</v>
      </c>
      <c r="AV208" s="253"/>
      <c r="AW208" s="535">
        <v>200</v>
      </c>
      <c r="AX208" s="536">
        <v>493.04</v>
      </c>
      <c r="AY208" s="529">
        <v>690.25</v>
      </c>
      <c r="AZ208" s="253"/>
      <c r="BA208" s="535">
        <v>200</v>
      </c>
      <c r="BB208" s="536">
        <v>500.32</v>
      </c>
      <c r="BC208" s="529">
        <v>700.44</v>
      </c>
      <c r="BD208" s="253"/>
      <c r="BE208" s="535">
        <v>200</v>
      </c>
      <c r="BF208" s="536">
        <v>507.6</v>
      </c>
      <c r="BG208" s="529">
        <v>710.64</v>
      </c>
      <c r="BH208" s="253"/>
      <c r="BI208" s="535">
        <v>200</v>
      </c>
      <c r="BJ208" s="536">
        <v>514.88</v>
      </c>
      <c r="BK208" s="529">
        <v>720.83</v>
      </c>
      <c r="BL208" s="253"/>
    </row>
    <row r="209" spans="1:64" ht="23.25">
      <c r="A209" s="272" t="s">
        <v>475</v>
      </c>
      <c r="B209" s="1436">
        <f t="shared" si="6"/>
        <v>2.21</v>
      </c>
      <c r="C209" s="1435">
        <f t="shared" si="7"/>
        <v>3.1</v>
      </c>
      <c r="D209" s="253"/>
      <c r="E209" s="1424" t="s">
        <v>475</v>
      </c>
      <c r="F209" s="1425">
        <v>2.06</v>
      </c>
      <c r="G209" s="1426">
        <v>2.89</v>
      </c>
      <c r="H209" s="1404"/>
      <c r="I209" s="1424" t="s">
        <v>475</v>
      </c>
      <c r="J209" s="1425">
        <v>2.1</v>
      </c>
      <c r="K209" s="1426">
        <v>2.94</v>
      </c>
      <c r="L209" s="253"/>
      <c r="M209" s="539" t="s">
        <v>475</v>
      </c>
      <c r="N209" s="540">
        <v>2.14</v>
      </c>
      <c r="O209" s="541">
        <v>2.99</v>
      </c>
      <c r="P209" s="253"/>
      <c r="Q209" s="539" t="s">
        <v>475</v>
      </c>
      <c r="R209" s="540">
        <v>2.1800000000000002</v>
      </c>
      <c r="S209" s="541">
        <v>3.05</v>
      </c>
      <c r="T209" s="253"/>
      <c r="U209" s="539" t="s">
        <v>475</v>
      </c>
      <c r="V209" s="540">
        <v>2.21</v>
      </c>
      <c r="W209" s="541">
        <v>3.1</v>
      </c>
      <c r="X209" s="253"/>
      <c r="Y209" s="539" t="s">
        <v>475</v>
      </c>
      <c r="Z209" s="540">
        <v>2.25</v>
      </c>
      <c r="AA209" s="541">
        <v>3.15</v>
      </c>
      <c r="AB209" s="253"/>
      <c r="AC209" s="539" t="s">
        <v>475</v>
      </c>
      <c r="AD209" s="540">
        <v>2.29</v>
      </c>
      <c r="AE209" s="541">
        <v>3.2</v>
      </c>
      <c r="AF209" s="253"/>
      <c r="AG209" s="539" t="s">
        <v>475</v>
      </c>
      <c r="AH209" s="540">
        <v>2.3199999999999998</v>
      </c>
      <c r="AI209" s="541">
        <v>3.25</v>
      </c>
      <c r="AJ209" s="253"/>
      <c r="AK209" s="539" t="s">
        <v>475</v>
      </c>
      <c r="AL209" s="540">
        <v>2.36</v>
      </c>
      <c r="AM209" s="541">
        <v>3.3</v>
      </c>
      <c r="AN209" s="253"/>
      <c r="AO209" s="539" t="s">
        <v>475</v>
      </c>
      <c r="AP209" s="540">
        <v>2.39</v>
      </c>
      <c r="AQ209" s="541">
        <v>3.36</v>
      </c>
      <c r="AR209" s="253"/>
      <c r="AS209" s="539" t="s">
        <v>475</v>
      </c>
      <c r="AT209" s="540">
        <v>2.4300000000000002</v>
      </c>
      <c r="AU209" s="541">
        <v>3.4</v>
      </c>
      <c r="AV209" s="253"/>
      <c r="AW209" s="539" t="s">
        <v>475</v>
      </c>
      <c r="AX209" s="540">
        <v>2.46</v>
      </c>
      <c r="AY209" s="541">
        <v>3.45</v>
      </c>
      <c r="AZ209" s="253"/>
      <c r="BA209" s="539" t="s">
        <v>475</v>
      </c>
      <c r="BB209" s="540">
        <v>2.5</v>
      </c>
      <c r="BC209" s="541">
        <v>3.5</v>
      </c>
      <c r="BD209" s="253"/>
      <c r="BE209" s="539" t="s">
        <v>475</v>
      </c>
      <c r="BF209" s="540">
        <v>2.54</v>
      </c>
      <c r="BG209" s="541">
        <v>3.55</v>
      </c>
      <c r="BH209" s="253"/>
      <c r="BI209" s="539" t="s">
        <v>475</v>
      </c>
      <c r="BJ209" s="540">
        <v>2.58</v>
      </c>
      <c r="BK209" s="541">
        <v>3.61</v>
      </c>
      <c r="BL209" s="253"/>
    </row>
    <row r="210" spans="1:64" ht="23.25">
      <c r="A210" s="273">
        <v>1000</v>
      </c>
      <c r="B210" s="274" t="s">
        <v>476</v>
      </c>
      <c r="C210" s="275" t="s">
        <v>476</v>
      </c>
      <c r="D210" s="253"/>
      <c r="E210" s="1427">
        <v>1000</v>
      </c>
      <c r="F210" s="1428" t="s">
        <v>476</v>
      </c>
      <c r="G210" s="1429" t="s">
        <v>476</v>
      </c>
      <c r="H210" s="1404"/>
      <c r="I210" s="1427">
        <v>1000</v>
      </c>
      <c r="J210" s="1428" t="s">
        <v>476</v>
      </c>
      <c r="K210" s="1429" t="s">
        <v>476</v>
      </c>
      <c r="L210" s="253"/>
      <c r="M210" s="542">
        <v>1000</v>
      </c>
      <c r="N210" s="543" t="s">
        <v>476</v>
      </c>
      <c r="O210" s="544" t="s">
        <v>476</v>
      </c>
      <c r="P210" s="253"/>
      <c r="Q210" s="542">
        <v>1000</v>
      </c>
      <c r="R210" s="543" t="s">
        <v>476</v>
      </c>
      <c r="S210" s="544" t="s">
        <v>476</v>
      </c>
      <c r="T210" s="253"/>
      <c r="U210" s="542">
        <v>1000</v>
      </c>
      <c r="V210" s="543" t="s">
        <v>476</v>
      </c>
      <c r="W210" s="544" t="s">
        <v>476</v>
      </c>
      <c r="X210" s="253"/>
      <c r="Y210" s="542">
        <v>1000</v>
      </c>
      <c r="Z210" s="543" t="s">
        <v>476</v>
      </c>
      <c r="AA210" s="544" t="s">
        <v>476</v>
      </c>
      <c r="AB210" s="253"/>
      <c r="AC210" s="542">
        <v>1000</v>
      </c>
      <c r="AD210" s="543" t="s">
        <v>476</v>
      </c>
      <c r="AE210" s="544" t="s">
        <v>476</v>
      </c>
      <c r="AF210" s="253"/>
      <c r="AG210" s="542">
        <v>1000</v>
      </c>
      <c r="AH210" s="543" t="s">
        <v>476</v>
      </c>
      <c r="AI210" s="544" t="s">
        <v>476</v>
      </c>
      <c r="AJ210" s="253"/>
      <c r="AK210" s="542">
        <v>1000</v>
      </c>
      <c r="AL210" s="543" t="s">
        <v>476</v>
      </c>
      <c r="AM210" s="544" t="s">
        <v>476</v>
      </c>
      <c r="AN210" s="253"/>
      <c r="AO210" s="542">
        <v>1000</v>
      </c>
      <c r="AP210" s="543" t="s">
        <v>476</v>
      </c>
      <c r="AQ210" s="544" t="s">
        <v>476</v>
      </c>
      <c r="AR210" s="253"/>
      <c r="AS210" s="542">
        <v>1000</v>
      </c>
      <c r="AT210" s="543" t="s">
        <v>476</v>
      </c>
      <c r="AU210" s="544" t="s">
        <v>476</v>
      </c>
      <c r="AV210" s="253"/>
      <c r="AW210" s="542">
        <v>1000</v>
      </c>
      <c r="AX210" s="543" t="s">
        <v>476</v>
      </c>
      <c r="AY210" s="544" t="s">
        <v>476</v>
      </c>
      <c r="AZ210" s="253"/>
      <c r="BA210" s="542">
        <v>1000</v>
      </c>
      <c r="BB210" s="543" t="s">
        <v>476</v>
      </c>
      <c r="BC210" s="544" t="s">
        <v>476</v>
      </c>
      <c r="BD210" s="253"/>
      <c r="BE210" s="542">
        <v>1000</v>
      </c>
      <c r="BF210" s="543" t="s">
        <v>476</v>
      </c>
      <c r="BG210" s="544" t="s">
        <v>476</v>
      </c>
      <c r="BH210" s="253"/>
      <c r="BI210" s="542">
        <v>1000</v>
      </c>
      <c r="BJ210" s="543" t="s">
        <v>476</v>
      </c>
      <c r="BK210" s="544" t="s">
        <v>476</v>
      </c>
      <c r="BL210" s="253"/>
    </row>
    <row r="211" spans="1:64" ht="23.25">
      <c r="A211" s="276" t="s">
        <v>477</v>
      </c>
      <c r="B211" s="277"/>
      <c r="C211" s="278"/>
      <c r="D211" s="253"/>
      <c r="E211" s="1430" t="s">
        <v>477</v>
      </c>
      <c r="F211" s="1431"/>
      <c r="G211" s="1432"/>
      <c r="H211" s="1404"/>
      <c r="I211" s="1430" t="s">
        <v>477</v>
      </c>
      <c r="J211" s="1431"/>
      <c r="K211" s="1432"/>
      <c r="L211" s="253"/>
      <c r="M211" s="545" t="s">
        <v>477</v>
      </c>
      <c r="N211" s="546"/>
      <c r="O211" s="547"/>
      <c r="P211" s="253"/>
      <c r="Q211" s="545" t="s">
        <v>477</v>
      </c>
      <c r="R211" s="546"/>
      <c r="S211" s="547"/>
      <c r="T211" s="253"/>
      <c r="U211" s="545" t="s">
        <v>477</v>
      </c>
      <c r="V211" s="546"/>
      <c r="W211" s="547"/>
      <c r="X211" s="253"/>
      <c r="Y211" s="545" t="s">
        <v>477</v>
      </c>
      <c r="Z211" s="546"/>
      <c r="AA211" s="547"/>
      <c r="AB211" s="253"/>
      <c r="AC211" s="545" t="s">
        <v>477</v>
      </c>
      <c r="AD211" s="546"/>
      <c r="AE211" s="547"/>
      <c r="AF211" s="253"/>
      <c r="AG211" s="545" t="s">
        <v>477</v>
      </c>
      <c r="AH211" s="546"/>
      <c r="AI211" s="547"/>
      <c r="AJ211" s="253"/>
      <c r="AK211" s="545" t="s">
        <v>477</v>
      </c>
      <c r="AL211" s="546"/>
      <c r="AM211" s="547"/>
      <c r="AN211" s="253"/>
      <c r="AO211" s="545" t="s">
        <v>477</v>
      </c>
      <c r="AP211" s="546"/>
      <c r="AQ211" s="547"/>
      <c r="AR211" s="253"/>
      <c r="AS211" s="545" t="s">
        <v>477</v>
      </c>
      <c r="AT211" s="546"/>
      <c r="AU211" s="547"/>
      <c r="AV211" s="253"/>
      <c r="AW211" s="545" t="s">
        <v>477</v>
      </c>
      <c r="AX211" s="546"/>
      <c r="AY211" s="547"/>
      <c r="AZ211" s="253"/>
      <c r="BA211" s="545" t="s">
        <v>477</v>
      </c>
      <c r="BB211" s="546"/>
      <c r="BC211" s="547"/>
      <c r="BD211" s="253"/>
      <c r="BE211" s="545" t="s">
        <v>477</v>
      </c>
      <c r="BF211" s="546"/>
      <c r="BG211" s="547"/>
      <c r="BH211" s="253"/>
      <c r="BI211" s="545" t="s">
        <v>477</v>
      </c>
      <c r="BJ211" s="546"/>
      <c r="BK211" s="547"/>
      <c r="BL211" s="253"/>
    </row>
    <row r="212" spans="1:64">
      <c r="A212" s="253"/>
      <c r="B212" s="253"/>
      <c r="C212" s="253"/>
      <c r="D212" s="253"/>
      <c r="E212" s="253"/>
      <c r="F212" s="253"/>
      <c r="G212" s="253"/>
      <c r="H212" s="253"/>
      <c r="I212" s="253"/>
      <c r="J212" s="253"/>
      <c r="K212" s="253"/>
      <c r="L212" s="253"/>
      <c r="M212" s="253"/>
      <c r="N212" s="253"/>
      <c r="O212" s="253"/>
      <c r="P212" s="253"/>
      <c r="Q212" s="253"/>
      <c r="R212" s="253"/>
      <c r="S212" s="253"/>
      <c r="T212" s="253"/>
      <c r="U212" s="253"/>
      <c r="V212" s="253"/>
      <c r="W212" s="253"/>
      <c r="X212" s="253"/>
      <c r="Y212" s="253"/>
      <c r="Z212" s="253"/>
      <c r="AA212" s="253"/>
      <c r="AB212" s="253"/>
      <c r="AC212" s="253"/>
      <c r="AD212" s="253"/>
      <c r="AE212" s="253"/>
      <c r="AF212" s="253"/>
      <c r="AG212" s="253"/>
      <c r="AH212" s="253"/>
      <c r="AI212" s="253"/>
      <c r="AJ212" s="253"/>
      <c r="AK212" s="253"/>
      <c r="AL212" s="253"/>
      <c r="AM212" s="253"/>
      <c r="AN212" s="253"/>
      <c r="AO212" s="253"/>
      <c r="AP212" s="253"/>
      <c r="AQ212" s="253"/>
      <c r="AR212" s="253"/>
      <c r="AS212" s="253"/>
      <c r="AT212" s="253"/>
      <c r="AU212" s="253"/>
      <c r="AV212" s="253"/>
      <c r="AW212" s="253"/>
      <c r="AX212" s="253"/>
      <c r="AY212" s="253"/>
      <c r="AZ212" s="253"/>
      <c r="BA212" s="253"/>
      <c r="BB212" s="253"/>
      <c r="BC212" s="253"/>
      <c r="BD212" s="253"/>
      <c r="BE212" s="253"/>
      <c r="BF212" s="253"/>
      <c r="BG212" s="253"/>
      <c r="BH212" s="253"/>
      <c r="BI212" s="253"/>
      <c r="BJ212" s="253"/>
      <c r="BK212" s="253"/>
      <c r="BL212" s="253"/>
    </row>
    <row r="213" spans="1:64">
      <c r="A213" s="253"/>
      <c r="B213" s="253"/>
      <c r="C213" s="253"/>
      <c r="D213" s="253"/>
      <c r="E213" s="253"/>
      <c r="F213" s="253"/>
      <c r="G213" s="253"/>
      <c r="H213" s="253"/>
      <c r="I213" s="253"/>
      <c r="J213" s="253"/>
      <c r="K213" s="253"/>
      <c r="L213" s="253"/>
      <c r="M213" s="253"/>
      <c r="N213" s="253"/>
      <c r="O213" s="253"/>
      <c r="P213" s="253"/>
      <c r="Q213" s="253"/>
      <c r="R213" s="253"/>
      <c r="S213" s="253"/>
      <c r="T213" s="253"/>
      <c r="U213" s="253"/>
      <c r="V213" s="253"/>
      <c r="W213" s="253"/>
      <c r="X213" s="253"/>
      <c r="Y213" s="253"/>
      <c r="Z213" s="253"/>
      <c r="AA213" s="253"/>
      <c r="AB213" s="253"/>
      <c r="AC213" s="253"/>
      <c r="AD213" s="253"/>
      <c r="AE213" s="253"/>
      <c r="AF213" s="253"/>
      <c r="AG213" s="253"/>
      <c r="AH213" s="253"/>
      <c r="AI213" s="253"/>
      <c r="AJ213" s="253"/>
      <c r="AK213" s="253"/>
      <c r="AL213" s="253"/>
      <c r="AM213" s="253"/>
      <c r="AN213" s="253"/>
      <c r="AO213" s="253"/>
      <c r="AP213" s="253"/>
      <c r="AQ213" s="253"/>
      <c r="AR213" s="253"/>
      <c r="AS213" s="253"/>
      <c r="AT213" s="253"/>
      <c r="AU213" s="253"/>
      <c r="AV213" s="253"/>
      <c r="AW213" s="253"/>
      <c r="AX213" s="253"/>
      <c r="AY213" s="253"/>
      <c r="AZ213" s="253"/>
      <c r="BA213" s="253"/>
      <c r="BB213" s="253"/>
      <c r="BC213" s="253"/>
      <c r="BD213" s="253"/>
      <c r="BE213" s="253"/>
      <c r="BF213" s="253"/>
      <c r="BG213" s="253"/>
      <c r="BH213" s="253"/>
      <c r="BI213" s="253"/>
      <c r="BJ213" s="253"/>
      <c r="BK213" s="253"/>
      <c r="BL213" s="253"/>
    </row>
    <row r="214" spans="1:64">
      <c r="A214" s="253"/>
      <c r="B214" s="253"/>
      <c r="C214" s="253"/>
      <c r="D214" s="253"/>
      <c r="E214" s="253"/>
      <c r="F214" s="253"/>
      <c r="G214" s="253"/>
      <c r="H214" s="253"/>
      <c r="I214" s="253"/>
      <c r="J214" s="253"/>
      <c r="K214" s="253"/>
      <c r="L214" s="253"/>
      <c r="M214" s="253"/>
      <c r="N214" s="253"/>
      <c r="O214" s="253"/>
      <c r="P214" s="253"/>
      <c r="Q214" s="253"/>
      <c r="R214" s="253"/>
      <c r="S214" s="253"/>
      <c r="T214" s="253"/>
      <c r="U214" s="253"/>
      <c r="V214" s="253"/>
      <c r="W214" s="253"/>
      <c r="X214" s="253"/>
      <c r="Y214" s="253"/>
      <c r="Z214" s="253"/>
      <c r="AA214" s="253"/>
      <c r="AB214" s="253"/>
      <c r="AC214" s="253"/>
      <c r="AD214" s="253"/>
      <c r="AE214" s="253"/>
      <c r="AF214" s="253"/>
      <c r="AG214" s="253"/>
      <c r="AH214" s="253"/>
      <c r="AI214" s="253"/>
      <c r="AJ214" s="253"/>
      <c r="AK214" s="253"/>
      <c r="AL214" s="253"/>
      <c r="AM214" s="253"/>
      <c r="AN214" s="253"/>
      <c r="AO214" s="253"/>
      <c r="AP214" s="253"/>
      <c r="AQ214" s="253"/>
      <c r="AR214" s="253"/>
      <c r="AS214" s="253"/>
      <c r="AT214" s="253"/>
      <c r="AU214" s="253"/>
      <c r="AV214" s="253"/>
      <c r="AW214" s="253"/>
      <c r="AX214" s="253"/>
      <c r="AY214" s="253"/>
      <c r="AZ214" s="253"/>
      <c r="BA214" s="253"/>
      <c r="BB214" s="253"/>
      <c r="BC214" s="253"/>
      <c r="BD214" s="253"/>
      <c r="BE214" s="253"/>
      <c r="BF214" s="253"/>
      <c r="BG214" s="253"/>
      <c r="BH214" s="253"/>
      <c r="BI214" s="253"/>
      <c r="BJ214" s="253"/>
      <c r="BK214" s="253"/>
      <c r="BL214" s="253"/>
    </row>
    <row r="215" spans="1:64">
      <c r="A215" s="253"/>
      <c r="B215" s="253"/>
      <c r="C215" s="253"/>
      <c r="D215" s="253"/>
      <c r="E215" s="253"/>
      <c r="F215" s="253"/>
      <c r="G215" s="253"/>
      <c r="H215" s="253"/>
      <c r="I215" s="253"/>
      <c r="J215" s="253"/>
      <c r="K215" s="253"/>
      <c r="L215" s="253"/>
      <c r="M215" s="253"/>
      <c r="N215" s="253"/>
      <c r="O215" s="253"/>
      <c r="P215" s="253"/>
      <c r="Q215" s="253"/>
      <c r="R215" s="253"/>
      <c r="S215" s="253"/>
      <c r="T215" s="253"/>
      <c r="U215" s="253"/>
      <c r="V215" s="253"/>
      <c r="W215" s="253"/>
      <c r="X215" s="253"/>
      <c r="Y215" s="253"/>
      <c r="Z215" s="253"/>
      <c r="AA215" s="253"/>
      <c r="AB215" s="253"/>
      <c r="AC215" s="253"/>
      <c r="AD215" s="253"/>
      <c r="AE215" s="253"/>
      <c r="AF215" s="253"/>
      <c r="AG215" s="253"/>
      <c r="AH215" s="253"/>
      <c r="AI215" s="253"/>
      <c r="AJ215" s="253"/>
      <c r="AK215" s="253"/>
      <c r="AL215" s="253"/>
      <c r="AM215" s="253"/>
      <c r="AN215" s="253"/>
      <c r="AO215" s="253"/>
      <c r="AP215" s="253"/>
      <c r="AQ215" s="253"/>
      <c r="AR215" s="253"/>
      <c r="AS215" s="253"/>
      <c r="AT215" s="253"/>
      <c r="AU215" s="253"/>
      <c r="AV215" s="253"/>
      <c r="AW215" s="253"/>
      <c r="AX215" s="253"/>
      <c r="AY215" s="253"/>
      <c r="AZ215" s="253"/>
      <c r="BA215" s="253"/>
      <c r="BB215" s="253"/>
      <c r="BC215" s="253"/>
      <c r="BD215" s="253"/>
      <c r="BE215" s="253"/>
      <c r="BF215" s="253"/>
      <c r="BG215" s="253"/>
      <c r="BH215" s="253"/>
      <c r="BI215" s="253"/>
      <c r="BJ215" s="253"/>
      <c r="BK215" s="253"/>
      <c r="BL215" s="253"/>
    </row>
    <row r="216" spans="1:64">
      <c r="A216" s="253"/>
      <c r="B216" s="253"/>
      <c r="C216" s="253"/>
      <c r="D216" s="253"/>
      <c r="E216" s="253"/>
      <c r="F216" s="253"/>
      <c r="G216" s="253"/>
      <c r="H216" s="253"/>
      <c r="I216" s="253"/>
      <c r="J216" s="253"/>
      <c r="K216" s="253"/>
      <c r="L216" s="253"/>
      <c r="M216" s="253"/>
      <c r="N216" s="253"/>
      <c r="O216" s="253"/>
      <c r="P216" s="253"/>
      <c r="Q216" s="253"/>
      <c r="R216" s="253"/>
      <c r="S216" s="253"/>
      <c r="T216" s="253"/>
      <c r="U216" s="253"/>
      <c r="V216" s="253"/>
      <c r="W216" s="253"/>
      <c r="X216" s="253"/>
      <c r="Y216" s="253"/>
      <c r="Z216" s="253"/>
      <c r="AA216" s="253"/>
      <c r="AB216" s="253"/>
      <c r="AC216" s="253"/>
      <c r="AD216" s="253"/>
      <c r="AE216" s="253"/>
      <c r="AF216" s="253"/>
      <c r="AG216" s="253"/>
      <c r="AH216" s="253"/>
      <c r="AI216" s="253"/>
      <c r="AJ216" s="253"/>
      <c r="AK216" s="253"/>
      <c r="AL216" s="253"/>
      <c r="AM216" s="253"/>
      <c r="AN216" s="253"/>
      <c r="AO216" s="253"/>
      <c r="AP216" s="253"/>
      <c r="AQ216" s="253"/>
      <c r="AR216" s="253"/>
      <c r="AS216" s="253"/>
      <c r="AT216" s="253"/>
      <c r="AU216" s="253"/>
      <c r="AV216" s="253"/>
      <c r="AW216" s="253"/>
      <c r="AX216" s="253"/>
      <c r="AY216" s="253"/>
      <c r="AZ216" s="253"/>
      <c r="BA216" s="253"/>
      <c r="BB216" s="253"/>
      <c r="BC216" s="253"/>
      <c r="BD216" s="253"/>
      <c r="BE216" s="253"/>
      <c r="BF216" s="253"/>
      <c r="BG216" s="253"/>
      <c r="BH216" s="253"/>
      <c r="BI216" s="253"/>
      <c r="BJ216" s="253"/>
      <c r="BK216" s="253"/>
      <c r="BL216" s="253"/>
    </row>
    <row r="217" spans="1:64">
      <c r="A217" s="253"/>
      <c r="B217" s="253"/>
      <c r="C217" s="253"/>
      <c r="D217" s="253"/>
      <c r="E217" s="253"/>
      <c r="F217" s="253"/>
      <c r="G217" s="253"/>
      <c r="H217" s="253"/>
      <c r="I217" s="253"/>
      <c r="J217" s="253"/>
      <c r="K217" s="253"/>
      <c r="L217" s="253"/>
      <c r="M217" s="253"/>
      <c r="N217" s="253"/>
      <c r="O217" s="253"/>
      <c r="P217" s="253"/>
      <c r="Q217" s="253"/>
      <c r="R217" s="253"/>
      <c r="S217" s="253"/>
      <c r="T217" s="253"/>
      <c r="U217" s="253"/>
      <c r="V217" s="253"/>
      <c r="W217" s="253"/>
      <c r="X217" s="253"/>
      <c r="Y217" s="253"/>
      <c r="Z217" s="253"/>
      <c r="AA217" s="253"/>
      <c r="AB217" s="253"/>
      <c r="AC217" s="253"/>
      <c r="AD217" s="253"/>
      <c r="AE217" s="253"/>
      <c r="AF217" s="253"/>
      <c r="AG217" s="253"/>
      <c r="AH217" s="253"/>
      <c r="AI217" s="253"/>
      <c r="AJ217" s="253"/>
      <c r="AK217" s="253"/>
      <c r="AL217" s="253"/>
      <c r="AM217" s="253"/>
      <c r="AN217" s="253"/>
      <c r="AO217" s="253"/>
      <c r="AP217" s="253"/>
      <c r="AQ217" s="253"/>
      <c r="AR217" s="253"/>
      <c r="AS217" s="253"/>
      <c r="AT217" s="253"/>
      <c r="AU217" s="253"/>
      <c r="AV217" s="253"/>
      <c r="AW217" s="253"/>
      <c r="AX217" s="253"/>
      <c r="AY217" s="253"/>
      <c r="AZ217" s="253"/>
      <c r="BA217" s="253"/>
      <c r="BB217" s="253"/>
      <c r="BC217" s="253"/>
      <c r="BD217" s="253"/>
      <c r="BE217" s="253"/>
      <c r="BF217" s="253"/>
      <c r="BG217" s="253"/>
      <c r="BH217" s="253"/>
      <c r="BI217" s="253"/>
      <c r="BJ217" s="253"/>
      <c r="BK217" s="253"/>
      <c r="BL217" s="253"/>
    </row>
    <row r="218" spans="1:64">
      <c r="A218" s="253"/>
      <c r="B218" s="253"/>
      <c r="C218" s="253"/>
      <c r="D218" s="253"/>
      <c r="E218" s="253"/>
      <c r="F218" s="253"/>
      <c r="G218" s="253"/>
      <c r="H218" s="253"/>
      <c r="I218" s="253"/>
      <c r="J218" s="253"/>
      <c r="K218" s="253"/>
      <c r="L218" s="253"/>
      <c r="M218" s="253"/>
      <c r="N218" s="253"/>
      <c r="O218" s="253"/>
      <c r="P218" s="253"/>
      <c r="Q218" s="253"/>
      <c r="R218" s="253"/>
      <c r="S218" s="253"/>
      <c r="T218" s="253"/>
      <c r="U218" s="253"/>
      <c r="V218" s="253"/>
      <c r="W218" s="253"/>
      <c r="X218" s="253"/>
      <c r="Y218" s="253"/>
      <c r="Z218" s="253"/>
      <c r="AA218" s="253"/>
      <c r="AB218" s="253"/>
      <c r="AC218" s="253"/>
      <c r="AD218" s="253"/>
      <c r="AE218" s="253"/>
      <c r="AF218" s="253"/>
      <c r="AG218" s="253"/>
      <c r="AH218" s="253"/>
      <c r="AI218" s="253"/>
      <c r="AJ218" s="253"/>
      <c r="AK218" s="253"/>
      <c r="AL218" s="253"/>
      <c r="AM218" s="253"/>
      <c r="AN218" s="253"/>
      <c r="AO218" s="253"/>
      <c r="AP218" s="253"/>
      <c r="AQ218" s="253"/>
      <c r="AR218" s="253"/>
      <c r="AS218" s="253"/>
      <c r="AT218" s="253"/>
      <c r="AU218" s="253"/>
      <c r="AV218" s="253"/>
      <c r="AW218" s="253"/>
      <c r="AX218" s="253"/>
      <c r="AY218" s="253"/>
      <c r="AZ218" s="253"/>
      <c r="BA218" s="253"/>
      <c r="BB218" s="253"/>
      <c r="BC218" s="253"/>
      <c r="BD218" s="253"/>
      <c r="BE218" s="253"/>
      <c r="BF218" s="253"/>
      <c r="BG218" s="253"/>
      <c r="BH218" s="253"/>
      <c r="BI218" s="253"/>
      <c r="BJ218" s="253"/>
      <c r="BK218" s="253"/>
      <c r="BL218" s="253"/>
    </row>
    <row r="219" spans="1:64">
      <c r="A219" s="253"/>
      <c r="B219" s="253"/>
      <c r="C219" s="253"/>
      <c r="D219" s="253"/>
      <c r="E219" s="253"/>
      <c r="F219" s="253"/>
      <c r="G219" s="253"/>
      <c r="H219" s="253"/>
      <c r="I219" s="253"/>
      <c r="J219" s="253"/>
      <c r="K219" s="253"/>
      <c r="L219" s="253"/>
      <c r="M219" s="253"/>
      <c r="N219" s="253"/>
      <c r="O219" s="253"/>
      <c r="P219" s="253"/>
      <c r="Q219" s="253"/>
      <c r="R219" s="253"/>
      <c r="S219" s="253"/>
      <c r="T219" s="253"/>
      <c r="U219" s="253"/>
      <c r="V219" s="253"/>
      <c r="W219" s="253"/>
      <c r="X219" s="253"/>
      <c r="Y219" s="253"/>
      <c r="Z219" s="253"/>
      <c r="AA219" s="253"/>
      <c r="AB219" s="253"/>
      <c r="AC219" s="253"/>
      <c r="AD219" s="253"/>
      <c r="AE219" s="253"/>
      <c r="AF219" s="253"/>
      <c r="AG219" s="253"/>
      <c r="AH219" s="253"/>
      <c r="AI219" s="253"/>
      <c r="AJ219" s="253"/>
      <c r="AK219" s="253"/>
      <c r="AL219" s="253"/>
      <c r="AM219" s="253"/>
      <c r="AN219" s="253"/>
      <c r="AO219" s="253"/>
      <c r="AP219" s="253"/>
      <c r="AQ219" s="253"/>
      <c r="AR219" s="253"/>
      <c r="AS219" s="253"/>
      <c r="AT219" s="253"/>
      <c r="AU219" s="253"/>
      <c r="AV219" s="253"/>
      <c r="AW219" s="253"/>
      <c r="AX219" s="253"/>
      <c r="AY219" s="253"/>
      <c r="AZ219" s="253"/>
      <c r="BA219" s="253"/>
      <c r="BB219" s="253"/>
      <c r="BC219" s="253"/>
      <c r="BD219" s="253"/>
      <c r="BE219" s="253"/>
      <c r="BF219" s="253"/>
      <c r="BG219" s="253"/>
      <c r="BH219" s="253"/>
      <c r="BI219" s="253"/>
      <c r="BJ219" s="253"/>
      <c r="BK219" s="253"/>
      <c r="BL219" s="253"/>
    </row>
    <row r="220" spans="1:64">
      <c r="A220" s="253"/>
      <c r="B220" s="253"/>
      <c r="C220" s="253"/>
      <c r="D220" s="253"/>
      <c r="E220" s="253"/>
      <c r="F220" s="253"/>
      <c r="G220" s="253"/>
      <c r="H220" s="253"/>
      <c r="I220" s="253"/>
      <c r="J220" s="253"/>
      <c r="K220" s="253"/>
      <c r="L220" s="253"/>
      <c r="M220" s="253"/>
      <c r="N220" s="253"/>
      <c r="O220" s="253"/>
      <c r="P220" s="253"/>
      <c r="Q220" s="253"/>
      <c r="R220" s="253"/>
      <c r="S220" s="253"/>
      <c r="T220" s="253"/>
      <c r="U220" s="253"/>
      <c r="V220" s="253"/>
      <c r="W220" s="253"/>
      <c r="X220" s="253"/>
      <c r="Y220" s="253"/>
      <c r="Z220" s="253"/>
      <c r="AA220" s="253"/>
      <c r="AB220" s="253"/>
      <c r="AC220" s="253"/>
      <c r="AD220" s="253"/>
      <c r="AE220" s="253"/>
      <c r="AF220" s="253"/>
      <c r="AG220" s="253"/>
      <c r="AH220" s="253"/>
      <c r="AI220" s="253"/>
      <c r="AJ220" s="253"/>
      <c r="AK220" s="253"/>
      <c r="AL220" s="253"/>
      <c r="AM220" s="253"/>
      <c r="AN220" s="253"/>
      <c r="AO220" s="253"/>
      <c r="AP220" s="253"/>
      <c r="AQ220" s="253"/>
      <c r="AR220" s="253"/>
      <c r="AS220" s="253"/>
      <c r="AT220" s="253"/>
      <c r="AU220" s="253"/>
      <c r="AV220" s="253"/>
      <c r="AW220" s="253"/>
      <c r="AX220" s="253"/>
      <c r="AY220" s="253"/>
      <c r="AZ220" s="253"/>
      <c r="BA220" s="253"/>
      <c r="BB220" s="253"/>
      <c r="BC220" s="253"/>
      <c r="BD220" s="253"/>
      <c r="BE220" s="253"/>
      <c r="BF220" s="253"/>
      <c r="BG220" s="253"/>
      <c r="BH220" s="253"/>
      <c r="BI220" s="253"/>
      <c r="BJ220" s="253"/>
      <c r="BK220" s="253"/>
      <c r="BL220" s="253"/>
    </row>
    <row r="221" spans="1:64">
      <c r="A221" s="253"/>
      <c r="B221" s="253"/>
      <c r="C221" s="253"/>
      <c r="D221" s="253"/>
      <c r="E221" s="253"/>
      <c r="F221" s="253"/>
      <c r="G221" s="253"/>
      <c r="H221" s="253"/>
      <c r="I221" s="253"/>
      <c r="J221" s="253"/>
      <c r="K221" s="253"/>
      <c r="L221" s="253"/>
      <c r="M221" s="253"/>
      <c r="N221" s="253"/>
      <c r="O221" s="253"/>
      <c r="P221" s="253"/>
      <c r="Q221" s="253"/>
      <c r="R221" s="253"/>
      <c r="S221" s="253"/>
      <c r="T221" s="253"/>
      <c r="U221" s="253"/>
      <c r="V221" s="253"/>
      <c r="W221" s="253"/>
      <c r="X221" s="253"/>
      <c r="Y221" s="253"/>
      <c r="Z221" s="253"/>
      <c r="AA221" s="253"/>
      <c r="AB221" s="253"/>
      <c r="AC221" s="253"/>
      <c r="AD221" s="253"/>
      <c r="AE221" s="253"/>
      <c r="AF221" s="253"/>
      <c r="AG221" s="253"/>
      <c r="AH221" s="253"/>
      <c r="AI221" s="253"/>
      <c r="AJ221" s="253"/>
      <c r="AK221" s="253"/>
      <c r="AL221" s="253"/>
      <c r="AM221" s="253"/>
      <c r="AN221" s="253"/>
      <c r="AO221" s="253"/>
      <c r="AP221" s="253"/>
      <c r="AQ221" s="253"/>
      <c r="AR221" s="253"/>
      <c r="AS221" s="253"/>
      <c r="AT221" s="253"/>
      <c r="AU221" s="253"/>
      <c r="AV221" s="253"/>
      <c r="AW221" s="253"/>
      <c r="AX221" s="253"/>
      <c r="AY221" s="253"/>
      <c r="AZ221" s="253"/>
      <c r="BA221" s="253"/>
      <c r="BB221" s="253"/>
      <c r="BC221" s="253"/>
      <c r="BD221" s="253"/>
      <c r="BE221" s="253"/>
      <c r="BF221" s="253"/>
      <c r="BG221" s="253"/>
      <c r="BH221" s="253"/>
      <c r="BI221" s="253"/>
      <c r="BJ221" s="253"/>
      <c r="BK221" s="253"/>
      <c r="BL221" s="253"/>
    </row>
    <row r="222" spans="1:64">
      <c r="A222" s="253"/>
      <c r="B222" s="253"/>
      <c r="C222" s="253"/>
      <c r="D222" s="253"/>
      <c r="E222" s="253"/>
      <c r="F222" s="253"/>
      <c r="G222" s="253"/>
      <c r="H222" s="253"/>
      <c r="I222" s="253"/>
      <c r="J222" s="253"/>
      <c r="K222" s="253"/>
      <c r="L222" s="253"/>
      <c r="M222" s="253"/>
      <c r="N222" s="253"/>
      <c r="O222" s="253"/>
      <c r="P222" s="253"/>
      <c r="Q222" s="253"/>
      <c r="R222" s="253"/>
      <c r="S222" s="253"/>
      <c r="T222" s="253"/>
      <c r="U222" s="253"/>
      <c r="V222" s="253"/>
      <c r="W222" s="253"/>
      <c r="X222" s="253"/>
      <c r="Y222" s="253"/>
      <c r="Z222" s="253"/>
      <c r="AA222" s="253"/>
      <c r="AB222" s="253"/>
      <c r="AC222" s="253"/>
      <c r="AD222" s="253"/>
      <c r="AE222" s="253"/>
      <c r="AF222" s="253"/>
      <c r="AG222" s="253"/>
      <c r="AH222" s="253"/>
      <c r="AI222" s="253"/>
      <c r="AJ222" s="253"/>
      <c r="AK222" s="253"/>
      <c r="AL222" s="253"/>
      <c r="AM222" s="253"/>
      <c r="AN222" s="253"/>
      <c r="AO222" s="253"/>
      <c r="AP222" s="253"/>
      <c r="AQ222" s="253"/>
      <c r="AR222" s="253"/>
      <c r="AS222" s="253"/>
      <c r="AT222" s="253"/>
      <c r="AU222" s="253"/>
      <c r="AV222" s="253"/>
      <c r="AW222" s="253"/>
      <c r="AX222" s="253"/>
      <c r="AY222" s="253"/>
      <c r="AZ222" s="253"/>
      <c r="BA222" s="253"/>
      <c r="BB222" s="253"/>
      <c r="BC222" s="253"/>
      <c r="BD222" s="253"/>
      <c r="BE222" s="253"/>
      <c r="BF222" s="253"/>
      <c r="BG222" s="253"/>
      <c r="BH222" s="253"/>
      <c r="BI222" s="253"/>
      <c r="BJ222" s="253"/>
      <c r="BK222" s="253"/>
      <c r="BL222" s="253"/>
    </row>
    <row r="223" spans="1:64">
      <c r="A223" s="253"/>
      <c r="B223" s="253"/>
      <c r="C223" s="253"/>
      <c r="D223" s="253"/>
      <c r="E223" s="253"/>
      <c r="F223" s="253"/>
      <c r="G223" s="253"/>
      <c r="H223" s="253"/>
      <c r="I223" s="253"/>
      <c r="J223" s="253"/>
      <c r="K223" s="253"/>
      <c r="L223" s="253"/>
      <c r="M223" s="253"/>
      <c r="N223" s="253"/>
      <c r="O223" s="253"/>
      <c r="P223" s="253"/>
      <c r="Q223" s="253"/>
      <c r="R223" s="253"/>
      <c r="S223" s="253"/>
      <c r="T223" s="253"/>
      <c r="U223" s="253"/>
      <c r="V223" s="253"/>
      <c r="W223" s="253"/>
      <c r="X223" s="253"/>
      <c r="Y223" s="253"/>
      <c r="Z223" s="253"/>
      <c r="AA223" s="253"/>
      <c r="AB223" s="253"/>
      <c r="AC223" s="253"/>
      <c r="AD223" s="253"/>
      <c r="AE223" s="253"/>
      <c r="AF223" s="253"/>
      <c r="AG223" s="253"/>
      <c r="AH223" s="253"/>
      <c r="AI223" s="253"/>
      <c r="AJ223" s="253"/>
      <c r="AK223" s="253"/>
      <c r="AL223" s="253"/>
      <c r="AM223" s="253"/>
      <c r="AN223" s="253"/>
      <c r="AO223" s="253"/>
      <c r="AP223" s="253"/>
      <c r="AQ223" s="253"/>
      <c r="AR223" s="253"/>
      <c r="AS223" s="253"/>
      <c r="AT223" s="253"/>
      <c r="AU223" s="253"/>
      <c r="AV223" s="253"/>
      <c r="AW223" s="253"/>
      <c r="AX223" s="253"/>
      <c r="AY223" s="253"/>
      <c r="AZ223" s="253"/>
      <c r="BA223" s="253"/>
      <c r="BB223" s="253"/>
      <c r="BC223" s="253"/>
      <c r="BD223" s="253"/>
      <c r="BE223" s="253"/>
      <c r="BF223" s="253"/>
      <c r="BG223" s="253"/>
      <c r="BH223" s="253"/>
      <c r="BI223" s="253"/>
      <c r="BJ223" s="253"/>
      <c r="BK223" s="253"/>
      <c r="BL223" s="253"/>
    </row>
    <row r="224" spans="1:64">
      <c r="A224" s="253"/>
      <c r="B224" s="253"/>
      <c r="C224" s="253"/>
      <c r="D224" s="253"/>
      <c r="E224" s="253"/>
      <c r="F224" s="253"/>
      <c r="G224" s="253"/>
      <c r="H224" s="253"/>
      <c r="I224" s="253"/>
      <c r="J224" s="253"/>
      <c r="K224" s="253"/>
      <c r="L224" s="253"/>
      <c r="M224" s="253"/>
      <c r="N224" s="253"/>
      <c r="O224" s="253"/>
      <c r="P224" s="253"/>
      <c r="Q224" s="253"/>
      <c r="R224" s="253"/>
      <c r="S224" s="253"/>
      <c r="T224" s="253"/>
      <c r="U224" s="253"/>
      <c r="V224" s="253"/>
      <c r="W224" s="253"/>
      <c r="X224" s="253"/>
      <c r="Y224" s="253"/>
      <c r="Z224" s="253"/>
      <c r="AA224" s="253"/>
      <c r="AB224" s="253"/>
      <c r="AC224" s="253"/>
      <c r="AD224" s="253"/>
      <c r="AE224" s="253"/>
      <c r="AF224" s="253"/>
      <c r="AG224" s="253"/>
      <c r="AH224" s="253"/>
      <c r="AI224" s="253"/>
      <c r="AJ224" s="253"/>
      <c r="AK224" s="253"/>
      <c r="AL224" s="253"/>
      <c r="AM224" s="253"/>
      <c r="AN224" s="253"/>
      <c r="AO224" s="253"/>
      <c r="AP224" s="253"/>
      <c r="AQ224" s="253"/>
      <c r="AR224" s="253"/>
      <c r="AS224" s="253"/>
      <c r="AT224" s="253"/>
      <c r="AU224" s="253"/>
      <c r="AV224" s="253"/>
      <c r="AW224" s="253"/>
      <c r="AX224" s="253"/>
      <c r="AY224" s="253"/>
      <c r="AZ224" s="253"/>
      <c r="BA224" s="253"/>
      <c r="BB224" s="253"/>
      <c r="BC224" s="253"/>
      <c r="BD224" s="253"/>
      <c r="BE224" s="253"/>
      <c r="BF224" s="253"/>
      <c r="BG224" s="253"/>
      <c r="BH224" s="253"/>
      <c r="BI224" s="253"/>
      <c r="BJ224" s="253"/>
      <c r="BK224" s="253"/>
      <c r="BL224" s="253"/>
    </row>
    <row r="225" spans="65:67" s="253" customFormat="1">
      <c r="BM225" s="252"/>
      <c r="BN225" s="252"/>
      <c r="BO225" s="252"/>
    </row>
    <row r="226" spans="65:67" s="253" customFormat="1">
      <c r="BM226" s="252"/>
      <c r="BN226" s="252"/>
      <c r="BO226" s="252"/>
    </row>
    <row r="227" spans="65:67" s="253" customFormat="1">
      <c r="BM227" s="252"/>
      <c r="BN227" s="252"/>
      <c r="BO227" s="252"/>
    </row>
    <row r="228" spans="65:67" s="253" customFormat="1">
      <c r="BM228" s="252"/>
      <c r="BN228" s="252"/>
      <c r="BO228" s="252"/>
    </row>
    <row r="229" spans="65:67" s="253" customFormat="1">
      <c r="BM229" s="252"/>
      <c r="BN229" s="252"/>
      <c r="BO229" s="252"/>
    </row>
    <row r="230" spans="65:67" s="253" customFormat="1">
      <c r="BM230" s="252"/>
      <c r="BN230" s="252"/>
      <c r="BO230" s="252"/>
    </row>
    <row r="231" spans="65:67" s="253" customFormat="1">
      <c r="BM231" s="252"/>
      <c r="BN231" s="252"/>
      <c r="BO231" s="252"/>
    </row>
    <row r="232" spans="65:67" s="253" customFormat="1">
      <c r="BM232" s="252"/>
      <c r="BN232" s="252"/>
      <c r="BO232" s="252"/>
    </row>
    <row r="233" spans="65:67" s="253" customFormat="1">
      <c r="BM233" s="252"/>
      <c r="BN233" s="252"/>
      <c r="BO233" s="252"/>
    </row>
    <row r="234" spans="65:67" s="253" customFormat="1">
      <c r="BM234" s="252"/>
      <c r="BN234" s="252"/>
      <c r="BO234" s="252"/>
    </row>
    <row r="235" spans="65:67" s="253" customFormat="1">
      <c r="BM235" s="252"/>
      <c r="BN235" s="252"/>
      <c r="BO235" s="252"/>
    </row>
    <row r="236" spans="65:67" s="253" customFormat="1">
      <c r="BM236" s="252"/>
      <c r="BN236" s="252"/>
      <c r="BO236" s="252"/>
    </row>
    <row r="237" spans="65:67" s="253" customFormat="1">
      <c r="BM237" s="252"/>
      <c r="BN237" s="252"/>
      <c r="BO237" s="252"/>
    </row>
    <row r="238" spans="65:67" s="253" customFormat="1">
      <c r="BM238" s="252"/>
      <c r="BN238" s="252"/>
      <c r="BO238" s="252"/>
    </row>
    <row r="239" spans="65:67" s="253" customFormat="1">
      <c r="BM239" s="252"/>
      <c r="BN239" s="252"/>
      <c r="BO239" s="252"/>
    </row>
    <row r="240" spans="65:67" s="253" customFormat="1">
      <c r="BM240" s="252"/>
      <c r="BN240" s="252"/>
      <c r="BO240" s="252"/>
    </row>
    <row r="241" spans="65:67" s="253" customFormat="1">
      <c r="BM241" s="252"/>
      <c r="BN241" s="252"/>
      <c r="BO241" s="252"/>
    </row>
    <row r="242" spans="65:67" s="253" customFormat="1">
      <c r="BM242" s="252"/>
      <c r="BN242" s="252"/>
      <c r="BO242" s="252"/>
    </row>
    <row r="243" spans="65:67" s="253" customFormat="1">
      <c r="BM243" s="252"/>
      <c r="BN243" s="252"/>
      <c r="BO243" s="252"/>
    </row>
    <row r="244" spans="65:67" s="253" customFormat="1">
      <c r="BM244" s="252"/>
      <c r="BN244" s="252"/>
      <c r="BO244" s="252"/>
    </row>
    <row r="245" spans="65:67" s="253" customFormat="1">
      <c r="BM245" s="252"/>
      <c r="BN245" s="252"/>
      <c r="BO245" s="252"/>
    </row>
    <row r="246" spans="65:67" s="253" customFormat="1">
      <c r="BM246" s="252"/>
      <c r="BN246" s="252"/>
      <c r="BO246" s="252"/>
    </row>
    <row r="247" spans="65:67" s="253" customFormat="1">
      <c r="BM247" s="252"/>
      <c r="BN247" s="252"/>
      <c r="BO247" s="252"/>
    </row>
    <row r="248" spans="65:67" s="253" customFormat="1">
      <c r="BM248" s="252"/>
      <c r="BN248" s="252"/>
      <c r="BO248" s="252"/>
    </row>
    <row r="249" spans="65:67" s="253" customFormat="1">
      <c r="BM249" s="252"/>
      <c r="BN249" s="252"/>
      <c r="BO249" s="252"/>
    </row>
    <row r="250" spans="65:67" s="253" customFormat="1">
      <c r="BM250" s="252"/>
      <c r="BN250" s="252"/>
      <c r="BO250" s="252"/>
    </row>
    <row r="251" spans="65:67" s="253" customFormat="1">
      <c r="BM251" s="252"/>
      <c r="BN251" s="252"/>
      <c r="BO251" s="252"/>
    </row>
    <row r="252" spans="65:67" s="253" customFormat="1">
      <c r="BM252" s="252"/>
      <c r="BN252" s="252"/>
      <c r="BO252" s="252"/>
    </row>
    <row r="253" spans="65:67" s="253" customFormat="1">
      <c r="BM253" s="252"/>
      <c r="BN253" s="252"/>
      <c r="BO253" s="252"/>
    </row>
    <row r="254" spans="65:67" s="253" customFormat="1">
      <c r="BM254" s="252"/>
      <c r="BN254" s="252"/>
      <c r="BO254" s="252"/>
    </row>
    <row r="255" spans="65:67" s="253" customFormat="1">
      <c r="BM255" s="252"/>
      <c r="BN255" s="252"/>
      <c r="BO255" s="252"/>
    </row>
    <row r="256" spans="65:67" s="253" customFormat="1">
      <c r="BM256" s="252"/>
      <c r="BN256" s="252"/>
      <c r="BO256" s="252"/>
    </row>
    <row r="257" spans="65:67" s="253" customFormat="1">
      <c r="BM257" s="252"/>
      <c r="BN257" s="252"/>
      <c r="BO257" s="252"/>
    </row>
    <row r="258" spans="65:67" s="253" customFormat="1">
      <c r="BM258" s="252"/>
      <c r="BN258" s="252"/>
      <c r="BO258" s="252"/>
    </row>
    <row r="259" spans="65:67" s="253" customFormat="1">
      <c r="BM259" s="252"/>
      <c r="BN259" s="252"/>
      <c r="BO259" s="252"/>
    </row>
    <row r="260" spans="65:67" s="253" customFormat="1">
      <c r="BM260" s="252"/>
      <c r="BN260" s="252"/>
      <c r="BO260" s="252"/>
    </row>
    <row r="261" spans="65:67" s="253" customFormat="1">
      <c r="BM261" s="252"/>
      <c r="BN261" s="252"/>
      <c r="BO261" s="252"/>
    </row>
    <row r="262" spans="65:67" s="253" customFormat="1">
      <c r="BM262" s="252"/>
      <c r="BN262" s="252"/>
      <c r="BO262" s="252"/>
    </row>
    <row r="263" spans="65:67" s="253" customFormat="1">
      <c r="BM263" s="252"/>
      <c r="BN263" s="252"/>
      <c r="BO263" s="252"/>
    </row>
    <row r="264" spans="65:67" s="253" customFormat="1">
      <c r="BM264" s="252"/>
      <c r="BN264" s="252"/>
      <c r="BO264" s="252"/>
    </row>
    <row r="265" spans="65:67" s="253" customFormat="1">
      <c r="BM265" s="252"/>
      <c r="BN265" s="252"/>
      <c r="BO265" s="252"/>
    </row>
    <row r="266" spans="65:67" s="253" customFormat="1">
      <c r="BM266" s="252"/>
      <c r="BN266" s="252"/>
      <c r="BO266" s="252"/>
    </row>
    <row r="267" spans="65:67" s="253" customFormat="1">
      <c r="BM267" s="252"/>
      <c r="BN267" s="252"/>
      <c r="BO267" s="252"/>
    </row>
    <row r="268" spans="65:67" s="253" customFormat="1">
      <c r="BM268" s="252"/>
      <c r="BN268" s="252"/>
      <c r="BO268" s="252"/>
    </row>
    <row r="269" spans="65:67" s="253" customFormat="1">
      <c r="BM269" s="252"/>
      <c r="BN269" s="252"/>
      <c r="BO269" s="252"/>
    </row>
    <row r="270" spans="65:67" s="253" customFormat="1">
      <c r="BM270" s="252"/>
      <c r="BN270" s="252"/>
      <c r="BO270" s="252"/>
    </row>
    <row r="271" spans="65:67" s="253" customFormat="1">
      <c r="BM271" s="252"/>
      <c r="BN271" s="252"/>
      <c r="BO271" s="252"/>
    </row>
    <row r="272" spans="65:67" s="253" customFormat="1">
      <c r="BM272" s="252"/>
      <c r="BN272" s="252"/>
      <c r="BO272" s="252"/>
    </row>
    <row r="273" spans="65:67" s="253" customFormat="1">
      <c r="BM273" s="252"/>
      <c r="BN273" s="252"/>
      <c r="BO273" s="252"/>
    </row>
    <row r="274" spans="65:67" s="253" customFormat="1">
      <c r="BM274" s="252"/>
      <c r="BN274" s="252"/>
      <c r="BO274" s="252"/>
    </row>
    <row r="275" spans="65:67" s="253" customFormat="1">
      <c r="BM275" s="252"/>
      <c r="BN275" s="252"/>
      <c r="BO275" s="252"/>
    </row>
    <row r="276" spans="65:67" s="253" customFormat="1">
      <c r="BM276" s="252"/>
      <c r="BN276" s="252"/>
      <c r="BO276" s="252"/>
    </row>
    <row r="277" spans="65:67" s="253" customFormat="1">
      <c r="BM277" s="252"/>
      <c r="BN277" s="252"/>
      <c r="BO277" s="252"/>
    </row>
    <row r="278" spans="65:67" s="253" customFormat="1">
      <c r="BM278" s="252"/>
      <c r="BN278" s="252"/>
      <c r="BO278" s="252"/>
    </row>
    <row r="279" spans="65:67" s="253" customFormat="1">
      <c r="BM279" s="252"/>
      <c r="BN279" s="252"/>
      <c r="BO279" s="252"/>
    </row>
    <row r="280" spans="65:67" s="253" customFormat="1">
      <c r="BM280" s="252"/>
      <c r="BN280" s="252"/>
      <c r="BO280" s="252"/>
    </row>
    <row r="281" spans="65:67" s="253" customFormat="1">
      <c r="BM281" s="252"/>
      <c r="BN281" s="252"/>
      <c r="BO281" s="252"/>
    </row>
    <row r="282" spans="65:67" s="253" customFormat="1">
      <c r="BM282" s="252"/>
      <c r="BN282" s="252"/>
      <c r="BO282" s="252"/>
    </row>
    <row r="283" spans="65:67" s="253" customFormat="1">
      <c r="BM283" s="252"/>
      <c r="BN283" s="252"/>
      <c r="BO283" s="252"/>
    </row>
    <row r="284" spans="65:67" s="253" customFormat="1">
      <c r="BM284" s="252"/>
      <c r="BN284" s="252"/>
      <c r="BO284" s="252"/>
    </row>
    <row r="285" spans="65:67" s="253" customFormat="1">
      <c r="BM285" s="252"/>
      <c r="BN285" s="252"/>
      <c r="BO285" s="252"/>
    </row>
    <row r="286" spans="65:67" s="253" customFormat="1">
      <c r="BM286" s="252"/>
      <c r="BN286" s="252"/>
      <c r="BO286" s="252"/>
    </row>
    <row r="287" spans="65:67" s="253" customFormat="1">
      <c r="BM287" s="252"/>
      <c r="BN287" s="252"/>
      <c r="BO287" s="252"/>
    </row>
    <row r="288" spans="65:67" s="253" customFormat="1">
      <c r="BM288" s="252"/>
      <c r="BN288" s="252"/>
      <c r="BO288" s="252"/>
    </row>
    <row r="289" spans="65:67" s="253" customFormat="1">
      <c r="BM289" s="252"/>
      <c r="BN289" s="252"/>
      <c r="BO289" s="252"/>
    </row>
    <row r="290" spans="65:67" s="253" customFormat="1">
      <c r="BM290" s="252"/>
      <c r="BN290" s="252"/>
      <c r="BO290" s="252"/>
    </row>
    <row r="291" spans="65:67" s="253" customFormat="1">
      <c r="BM291" s="252"/>
      <c r="BN291" s="252"/>
      <c r="BO291" s="252"/>
    </row>
    <row r="292" spans="65:67" s="253" customFormat="1">
      <c r="BM292" s="252"/>
      <c r="BN292" s="252"/>
      <c r="BO292" s="252"/>
    </row>
    <row r="293" spans="65:67" s="253" customFormat="1">
      <c r="BM293" s="252"/>
      <c r="BN293" s="252"/>
      <c r="BO293" s="252"/>
    </row>
    <row r="294" spans="65:67" s="253" customFormat="1">
      <c r="BM294" s="252"/>
      <c r="BN294" s="252"/>
      <c r="BO294" s="252"/>
    </row>
    <row r="295" spans="65:67" s="253" customFormat="1">
      <c r="BM295" s="252"/>
      <c r="BN295" s="252"/>
      <c r="BO295" s="252"/>
    </row>
    <row r="296" spans="65:67" s="253" customFormat="1">
      <c r="BM296" s="252"/>
      <c r="BN296" s="252"/>
      <c r="BO296" s="252"/>
    </row>
    <row r="297" spans="65:67" s="253" customFormat="1">
      <c r="BM297" s="252"/>
      <c r="BN297" s="252"/>
      <c r="BO297" s="252"/>
    </row>
    <row r="298" spans="65:67" s="253" customFormat="1">
      <c r="BM298" s="252"/>
      <c r="BN298" s="252"/>
      <c r="BO298" s="252"/>
    </row>
    <row r="299" spans="65:67" s="253" customFormat="1">
      <c r="BM299" s="252"/>
      <c r="BN299" s="252"/>
      <c r="BO299" s="252"/>
    </row>
    <row r="300" spans="65:67" s="253" customFormat="1">
      <c r="BM300" s="252"/>
      <c r="BN300" s="252"/>
      <c r="BO300" s="252"/>
    </row>
    <row r="301" spans="65:67" s="253" customFormat="1">
      <c r="BM301" s="252"/>
      <c r="BN301" s="252"/>
      <c r="BO301" s="252"/>
    </row>
    <row r="302" spans="65:67" s="253" customFormat="1">
      <c r="BM302" s="252"/>
      <c r="BN302" s="252"/>
      <c r="BO302" s="252"/>
    </row>
    <row r="303" spans="65:67" s="253" customFormat="1">
      <c r="BM303" s="252"/>
      <c r="BN303" s="252"/>
      <c r="BO303" s="252"/>
    </row>
    <row r="304" spans="65:67" s="253" customFormat="1">
      <c r="BM304" s="252"/>
      <c r="BN304" s="252"/>
      <c r="BO304" s="252"/>
    </row>
    <row r="305" spans="65:67" s="253" customFormat="1">
      <c r="BM305" s="252"/>
      <c r="BN305" s="252"/>
      <c r="BO305" s="252"/>
    </row>
    <row r="306" spans="65:67" s="253" customFormat="1">
      <c r="BM306" s="252"/>
      <c r="BN306" s="252"/>
      <c r="BO306" s="252"/>
    </row>
    <row r="307" spans="65:67" s="253" customFormat="1">
      <c r="BM307" s="252"/>
      <c r="BN307" s="252"/>
      <c r="BO307" s="252"/>
    </row>
    <row r="308" spans="65:67" s="253" customFormat="1">
      <c r="BM308" s="252"/>
      <c r="BN308" s="252"/>
      <c r="BO308" s="252"/>
    </row>
    <row r="309" spans="65:67" s="253" customFormat="1">
      <c r="BM309" s="252"/>
      <c r="BN309" s="252"/>
      <c r="BO309" s="252"/>
    </row>
    <row r="310" spans="65:67" s="253" customFormat="1">
      <c r="BM310" s="252"/>
      <c r="BN310" s="252"/>
      <c r="BO310" s="252"/>
    </row>
    <row r="311" spans="65:67" s="253" customFormat="1">
      <c r="BM311" s="252"/>
      <c r="BN311" s="252"/>
      <c r="BO311" s="252"/>
    </row>
    <row r="312" spans="65:67" s="253" customFormat="1">
      <c r="BM312" s="252"/>
      <c r="BN312" s="252"/>
      <c r="BO312" s="252"/>
    </row>
    <row r="313" spans="65:67" s="253" customFormat="1">
      <c r="BM313" s="252"/>
      <c r="BN313" s="252"/>
      <c r="BO313" s="252"/>
    </row>
    <row r="314" spans="65:67" s="253" customFormat="1">
      <c r="BM314" s="252"/>
      <c r="BN314" s="252"/>
      <c r="BO314" s="252"/>
    </row>
    <row r="315" spans="65:67" s="253" customFormat="1">
      <c r="BM315" s="252"/>
      <c r="BN315" s="252"/>
      <c r="BO315" s="252"/>
    </row>
    <row r="316" spans="65:67" s="253" customFormat="1">
      <c r="BM316" s="252"/>
      <c r="BN316" s="252"/>
      <c r="BO316" s="252"/>
    </row>
    <row r="317" spans="65:67" s="253" customFormat="1">
      <c r="BM317" s="252"/>
      <c r="BN317" s="252"/>
      <c r="BO317" s="252"/>
    </row>
    <row r="318" spans="65:67" s="253" customFormat="1">
      <c r="BM318" s="252"/>
      <c r="BN318" s="252"/>
      <c r="BO318" s="252"/>
    </row>
    <row r="319" spans="65:67" s="253" customFormat="1">
      <c r="BM319" s="252"/>
      <c r="BN319" s="252"/>
      <c r="BO319" s="252"/>
    </row>
    <row r="320" spans="65:67" s="253" customFormat="1">
      <c r="BM320" s="252"/>
      <c r="BN320" s="252"/>
      <c r="BO320" s="252"/>
    </row>
    <row r="321" spans="65:67" s="253" customFormat="1">
      <c r="BM321" s="252"/>
      <c r="BN321" s="252"/>
      <c r="BO321" s="252"/>
    </row>
    <row r="322" spans="65:67" s="253" customFormat="1">
      <c r="BM322" s="252"/>
      <c r="BN322" s="252"/>
      <c r="BO322" s="252"/>
    </row>
    <row r="323" spans="65:67" s="253" customFormat="1">
      <c r="BM323" s="252"/>
      <c r="BN323" s="252"/>
      <c r="BO323" s="252"/>
    </row>
    <row r="324" spans="65:67" s="253" customFormat="1">
      <c r="BM324" s="252"/>
      <c r="BN324" s="252"/>
      <c r="BO324" s="252"/>
    </row>
    <row r="325" spans="65:67" s="253" customFormat="1">
      <c r="BM325" s="252"/>
      <c r="BN325" s="252"/>
      <c r="BO325" s="252"/>
    </row>
    <row r="326" spans="65:67" s="253" customFormat="1">
      <c r="BM326" s="252"/>
      <c r="BN326" s="252"/>
      <c r="BO326" s="252"/>
    </row>
    <row r="327" spans="65:67" s="253" customFormat="1">
      <c r="BM327" s="252"/>
      <c r="BN327" s="252"/>
      <c r="BO327" s="252"/>
    </row>
    <row r="328" spans="65:67" s="253" customFormat="1">
      <c r="BM328" s="252"/>
      <c r="BN328" s="252"/>
      <c r="BO328" s="252"/>
    </row>
    <row r="329" spans="65:67" s="253" customFormat="1">
      <c r="BM329" s="252"/>
      <c r="BN329" s="252"/>
      <c r="BO329" s="252"/>
    </row>
    <row r="330" spans="65:67" s="253" customFormat="1">
      <c r="BM330" s="252"/>
      <c r="BN330" s="252"/>
      <c r="BO330" s="252"/>
    </row>
    <row r="331" spans="65:67" s="253" customFormat="1">
      <c r="BM331" s="252"/>
      <c r="BN331" s="252"/>
      <c r="BO331" s="252"/>
    </row>
    <row r="332" spans="65:67" s="253" customFormat="1">
      <c r="BM332" s="252"/>
      <c r="BN332" s="252"/>
      <c r="BO332" s="252"/>
    </row>
    <row r="333" spans="65:67" s="253" customFormat="1">
      <c r="BM333" s="252"/>
      <c r="BN333" s="252"/>
      <c r="BO333" s="252"/>
    </row>
    <row r="334" spans="65:67" s="253" customFormat="1">
      <c r="BM334" s="252"/>
      <c r="BN334" s="252"/>
      <c r="BO334" s="252"/>
    </row>
    <row r="335" spans="65:67" s="253" customFormat="1">
      <c r="BM335" s="252"/>
      <c r="BN335" s="252"/>
      <c r="BO335" s="252"/>
    </row>
    <row r="336" spans="65:67" s="253" customFormat="1">
      <c r="BM336" s="252"/>
      <c r="BN336" s="252"/>
      <c r="BO336" s="252"/>
    </row>
    <row r="337" spans="65:67" s="253" customFormat="1">
      <c r="BM337" s="252"/>
      <c r="BN337" s="252"/>
      <c r="BO337" s="252"/>
    </row>
    <row r="338" spans="65:67" s="253" customFormat="1">
      <c r="BM338" s="252"/>
      <c r="BN338" s="252"/>
      <c r="BO338" s="252"/>
    </row>
    <row r="339" spans="65:67" s="253" customFormat="1">
      <c r="BM339" s="252"/>
      <c r="BN339" s="252"/>
      <c r="BO339" s="252"/>
    </row>
    <row r="340" spans="65:67" s="253" customFormat="1">
      <c r="BM340" s="252"/>
      <c r="BN340" s="252"/>
      <c r="BO340" s="252"/>
    </row>
    <row r="341" spans="65:67" s="253" customFormat="1">
      <c r="BM341" s="252"/>
      <c r="BN341" s="252"/>
      <c r="BO341" s="252"/>
    </row>
    <row r="342" spans="65:67" s="253" customFormat="1">
      <c r="BM342" s="252"/>
      <c r="BN342" s="252"/>
      <c r="BO342" s="252"/>
    </row>
    <row r="343" spans="65:67" s="253" customFormat="1">
      <c r="BM343" s="252"/>
      <c r="BN343" s="252"/>
      <c r="BO343" s="252"/>
    </row>
    <row r="344" spans="65:67" s="253" customFormat="1">
      <c r="BM344" s="252"/>
      <c r="BN344" s="252"/>
      <c r="BO344" s="252"/>
    </row>
    <row r="345" spans="65:67" s="253" customFormat="1">
      <c r="BM345" s="252"/>
      <c r="BN345" s="252"/>
      <c r="BO345" s="252"/>
    </row>
    <row r="346" spans="65:67" s="253" customFormat="1">
      <c r="BM346" s="252"/>
      <c r="BN346" s="252"/>
      <c r="BO346" s="252"/>
    </row>
    <row r="347" spans="65:67" s="253" customFormat="1">
      <c r="BM347" s="252"/>
      <c r="BN347" s="252"/>
      <c r="BO347" s="252"/>
    </row>
    <row r="348" spans="65:67" s="253" customFormat="1">
      <c r="BM348" s="252"/>
      <c r="BN348" s="252"/>
      <c r="BO348" s="252"/>
    </row>
    <row r="349" spans="65:67" s="253" customFormat="1">
      <c r="BM349" s="252"/>
      <c r="BN349" s="252"/>
      <c r="BO349" s="252"/>
    </row>
    <row r="350" spans="65:67" s="253" customFormat="1">
      <c r="BM350" s="252"/>
      <c r="BN350" s="252"/>
      <c r="BO350" s="252"/>
    </row>
    <row r="351" spans="65:67" s="253" customFormat="1">
      <c r="BM351" s="252"/>
      <c r="BN351" s="252"/>
      <c r="BO351" s="252"/>
    </row>
    <row r="352" spans="65:67" s="253" customFormat="1">
      <c r="BM352" s="252"/>
      <c r="BN352" s="252"/>
      <c r="BO352" s="252"/>
    </row>
    <row r="353" spans="65:67" s="253" customFormat="1">
      <c r="BM353" s="252"/>
      <c r="BN353" s="252"/>
      <c r="BO353" s="252"/>
    </row>
    <row r="354" spans="65:67" s="253" customFormat="1">
      <c r="BM354" s="252"/>
      <c r="BN354" s="252"/>
      <c r="BO354" s="252"/>
    </row>
    <row r="355" spans="65:67" s="253" customFormat="1">
      <c r="BM355" s="252"/>
      <c r="BN355" s="252"/>
      <c r="BO355" s="252"/>
    </row>
    <row r="356" spans="65:67" s="253" customFormat="1">
      <c r="BM356" s="252"/>
      <c r="BN356" s="252"/>
      <c r="BO356" s="252"/>
    </row>
    <row r="357" spans="65:67" s="253" customFormat="1">
      <c r="BM357" s="252"/>
      <c r="BN357" s="252"/>
      <c r="BO357" s="252"/>
    </row>
    <row r="358" spans="65:67" s="253" customFormat="1">
      <c r="BM358" s="252"/>
      <c r="BN358" s="252"/>
      <c r="BO358" s="252"/>
    </row>
    <row r="359" spans="65:67" s="253" customFormat="1">
      <c r="BM359" s="252"/>
      <c r="BN359" s="252"/>
      <c r="BO359" s="252"/>
    </row>
    <row r="360" spans="65:67" s="253" customFormat="1">
      <c r="BM360" s="252"/>
      <c r="BN360" s="252"/>
      <c r="BO360" s="252"/>
    </row>
    <row r="361" spans="65:67" s="253" customFormat="1">
      <c r="BM361" s="252"/>
      <c r="BN361" s="252"/>
      <c r="BO361" s="252"/>
    </row>
    <row r="362" spans="65:67" s="253" customFormat="1">
      <c r="BM362" s="252"/>
      <c r="BN362" s="252"/>
      <c r="BO362" s="252"/>
    </row>
    <row r="363" spans="65:67" s="253" customFormat="1">
      <c r="BM363" s="252"/>
      <c r="BN363" s="252"/>
      <c r="BO363" s="252"/>
    </row>
    <row r="364" spans="65:67" s="253" customFormat="1">
      <c r="BM364" s="252"/>
      <c r="BN364" s="252"/>
      <c r="BO364" s="252"/>
    </row>
    <row r="365" spans="65:67" s="253" customFormat="1">
      <c r="BM365" s="252"/>
      <c r="BN365" s="252"/>
      <c r="BO365" s="252"/>
    </row>
    <row r="366" spans="65:67" s="253" customFormat="1">
      <c r="BM366" s="252"/>
      <c r="BN366" s="252"/>
      <c r="BO366" s="252"/>
    </row>
    <row r="367" spans="65:67" s="253" customFormat="1">
      <c r="BM367" s="252"/>
      <c r="BN367" s="252"/>
      <c r="BO367" s="252"/>
    </row>
    <row r="368" spans="65:67" s="253" customFormat="1">
      <c r="BM368" s="252"/>
      <c r="BN368" s="252"/>
      <c r="BO368" s="252"/>
    </row>
    <row r="369" spans="65:67" s="253" customFormat="1">
      <c r="BM369" s="252"/>
      <c r="BN369" s="252"/>
      <c r="BO369" s="252"/>
    </row>
    <row r="370" spans="65:67" s="253" customFormat="1">
      <c r="BM370" s="252"/>
      <c r="BN370" s="252"/>
      <c r="BO370" s="252"/>
    </row>
    <row r="371" spans="65:67" s="253" customFormat="1">
      <c r="BM371" s="252"/>
      <c r="BN371" s="252"/>
      <c r="BO371" s="252"/>
    </row>
    <row r="372" spans="65:67" s="253" customFormat="1">
      <c r="BM372" s="252"/>
      <c r="BN372" s="252"/>
      <c r="BO372" s="252"/>
    </row>
    <row r="373" spans="65:67" s="253" customFormat="1">
      <c r="BM373" s="252"/>
      <c r="BN373" s="252"/>
      <c r="BO373" s="252"/>
    </row>
    <row r="374" spans="65:67" s="253" customFormat="1">
      <c r="BM374" s="252"/>
      <c r="BN374" s="252"/>
      <c r="BO374" s="252"/>
    </row>
    <row r="375" spans="65:67" s="253" customFormat="1">
      <c r="BM375" s="252"/>
      <c r="BN375" s="252"/>
      <c r="BO375" s="252"/>
    </row>
    <row r="376" spans="65:67" s="253" customFormat="1">
      <c r="BM376" s="252"/>
      <c r="BN376" s="252"/>
      <c r="BO376" s="252"/>
    </row>
    <row r="377" spans="65:67" s="253" customFormat="1">
      <c r="BM377" s="252"/>
      <c r="BN377" s="252"/>
      <c r="BO377" s="252"/>
    </row>
    <row r="378" spans="65:67" s="253" customFormat="1">
      <c r="BM378" s="252"/>
      <c r="BN378" s="252"/>
      <c r="BO378" s="252"/>
    </row>
    <row r="379" spans="65:67" s="253" customFormat="1">
      <c r="BM379" s="252"/>
      <c r="BN379" s="252"/>
      <c r="BO379" s="252"/>
    </row>
    <row r="380" spans="65:67" s="253" customFormat="1">
      <c r="BM380" s="252"/>
      <c r="BN380" s="252"/>
      <c r="BO380" s="252"/>
    </row>
    <row r="381" spans="65:67" s="253" customFormat="1">
      <c r="BM381" s="252"/>
      <c r="BN381" s="252"/>
      <c r="BO381" s="252"/>
    </row>
    <row r="382" spans="65:67" s="253" customFormat="1">
      <c r="BM382" s="252"/>
      <c r="BN382" s="252"/>
      <c r="BO382" s="252"/>
    </row>
    <row r="383" spans="65:67" s="253" customFormat="1">
      <c r="BM383" s="252"/>
      <c r="BN383" s="252"/>
      <c r="BO383" s="252"/>
    </row>
    <row r="384" spans="65:67" s="253" customFormat="1">
      <c r="BM384" s="252"/>
      <c r="BN384" s="252"/>
      <c r="BO384" s="252"/>
    </row>
    <row r="385" spans="65:67" s="253" customFormat="1">
      <c r="BM385" s="252"/>
      <c r="BN385" s="252"/>
      <c r="BO385" s="252"/>
    </row>
    <row r="386" spans="65:67" s="253" customFormat="1">
      <c r="BM386" s="252"/>
      <c r="BN386" s="252"/>
      <c r="BO386" s="252"/>
    </row>
    <row r="387" spans="65:67" s="253" customFormat="1">
      <c r="BM387" s="252"/>
      <c r="BN387" s="252"/>
      <c r="BO387" s="252"/>
    </row>
    <row r="388" spans="65:67" s="253" customFormat="1">
      <c r="BM388" s="252"/>
      <c r="BN388" s="252"/>
      <c r="BO388" s="252"/>
    </row>
    <row r="389" spans="65:67" s="253" customFormat="1">
      <c r="BM389" s="252"/>
      <c r="BN389" s="252"/>
      <c r="BO389" s="252"/>
    </row>
    <row r="390" spans="65:67" s="253" customFormat="1">
      <c r="BM390" s="252"/>
      <c r="BN390" s="252"/>
      <c r="BO390" s="252"/>
    </row>
    <row r="391" spans="65:67" s="253" customFormat="1">
      <c r="BM391" s="252"/>
      <c r="BN391" s="252"/>
      <c r="BO391" s="252"/>
    </row>
    <row r="392" spans="65:67" s="253" customFormat="1">
      <c r="BM392" s="252"/>
      <c r="BN392" s="252"/>
      <c r="BO392" s="252"/>
    </row>
    <row r="393" spans="65:67" s="253" customFormat="1">
      <c r="BM393" s="252"/>
      <c r="BN393" s="252"/>
      <c r="BO393" s="252"/>
    </row>
    <row r="394" spans="65:67" s="253" customFormat="1">
      <c r="BM394" s="252"/>
      <c r="BN394" s="252"/>
      <c r="BO394" s="252"/>
    </row>
    <row r="395" spans="65:67" s="253" customFormat="1">
      <c r="BM395" s="252"/>
      <c r="BN395" s="252"/>
      <c r="BO395" s="252"/>
    </row>
    <row r="396" spans="65:67" s="253" customFormat="1">
      <c r="BM396" s="252"/>
      <c r="BN396" s="252"/>
      <c r="BO396" s="252"/>
    </row>
    <row r="397" spans="65:67" s="253" customFormat="1">
      <c r="BM397" s="252"/>
      <c r="BN397" s="252"/>
      <c r="BO397" s="252"/>
    </row>
    <row r="398" spans="65:67" s="253" customFormat="1">
      <c r="BM398" s="252"/>
      <c r="BN398" s="252"/>
      <c r="BO398" s="252"/>
    </row>
    <row r="399" spans="65:67" s="253" customFormat="1">
      <c r="BM399" s="252"/>
      <c r="BN399" s="252"/>
      <c r="BO399" s="252"/>
    </row>
    <row r="400" spans="65:67" s="253" customFormat="1">
      <c r="BM400" s="252"/>
      <c r="BN400" s="252"/>
      <c r="BO400" s="252"/>
    </row>
    <row r="401" spans="65:67" s="253" customFormat="1">
      <c r="BM401" s="252"/>
      <c r="BN401" s="252"/>
      <c r="BO401" s="252"/>
    </row>
    <row r="402" spans="65:67" s="253" customFormat="1">
      <c r="BM402" s="252"/>
      <c r="BN402" s="252"/>
      <c r="BO402" s="252"/>
    </row>
    <row r="403" spans="65:67" s="253" customFormat="1">
      <c r="BM403" s="252"/>
      <c r="BN403" s="252"/>
      <c r="BO403" s="252"/>
    </row>
    <row r="404" spans="65:67" s="253" customFormat="1">
      <c r="BM404" s="252"/>
      <c r="BN404" s="252"/>
      <c r="BO404" s="252"/>
    </row>
    <row r="405" spans="65:67" s="253" customFormat="1">
      <c r="BM405" s="252"/>
      <c r="BN405" s="252"/>
      <c r="BO405" s="252"/>
    </row>
    <row r="406" spans="65:67" s="253" customFormat="1">
      <c r="BM406" s="252"/>
      <c r="BN406" s="252"/>
      <c r="BO406" s="252"/>
    </row>
    <row r="407" spans="65:67" s="253" customFormat="1">
      <c r="BM407" s="252"/>
      <c r="BN407" s="252"/>
      <c r="BO407" s="252"/>
    </row>
    <row r="408" spans="65:67" s="253" customFormat="1">
      <c r="BM408" s="252"/>
      <c r="BN408" s="252"/>
      <c r="BO408" s="252"/>
    </row>
    <row r="409" spans="65:67" s="253" customFormat="1">
      <c r="BM409" s="252"/>
      <c r="BN409" s="252"/>
      <c r="BO409" s="252"/>
    </row>
    <row r="410" spans="65:67" s="253" customFormat="1">
      <c r="BM410" s="252"/>
      <c r="BN410" s="252"/>
      <c r="BO410" s="252"/>
    </row>
    <row r="411" spans="65:67" s="253" customFormat="1">
      <c r="BM411" s="252"/>
      <c r="BN411" s="252"/>
      <c r="BO411" s="252"/>
    </row>
    <row r="412" spans="65:67" s="253" customFormat="1">
      <c r="BM412" s="252"/>
      <c r="BN412" s="252"/>
      <c r="BO412" s="252"/>
    </row>
    <row r="413" spans="65:67" s="253" customFormat="1">
      <c r="BM413" s="252"/>
      <c r="BN413" s="252"/>
      <c r="BO413" s="252"/>
    </row>
    <row r="414" spans="65:67" s="253" customFormat="1">
      <c r="BM414" s="252"/>
      <c r="BN414" s="252"/>
      <c r="BO414" s="252"/>
    </row>
    <row r="415" spans="65:67" s="253" customFormat="1">
      <c r="BM415" s="252"/>
      <c r="BN415" s="252"/>
      <c r="BO415" s="252"/>
    </row>
    <row r="416" spans="65:67" s="253" customFormat="1">
      <c r="BM416" s="252"/>
      <c r="BN416" s="252"/>
      <c r="BO416" s="252"/>
    </row>
    <row r="417" spans="65:67" s="253" customFormat="1">
      <c r="BM417" s="252"/>
      <c r="BN417" s="252"/>
      <c r="BO417" s="252"/>
    </row>
    <row r="418" spans="65:67" s="253" customFormat="1">
      <c r="BM418" s="252"/>
      <c r="BN418" s="252"/>
      <c r="BO418" s="252"/>
    </row>
    <row r="419" spans="65:67" s="253" customFormat="1">
      <c r="BM419" s="252"/>
      <c r="BN419" s="252"/>
      <c r="BO419" s="252"/>
    </row>
    <row r="420" spans="65:67" s="253" customFormat="1">
      <c r="BM420" s="252"/>
      <c r="BN420" s="252"/>
      <c r="BO420" s="252"/>
    </row>
    <row r="421" spans="65:67" s="253" customFormat="1">
      <c r="BM421" s="252"/>
      <c r="BN421" s="252"/>
      <c r="BO421" s="252"/>
    </row>
    <row r="422" spans="65:67" s="253" customFormat="1">
      <c r="BM422" s="252"/>
      <c r="BN422" s="252"/>
      <c r="BO422" s="252"/>
    </row>
    <row r="423" spans="65:67" s="253" customFormat="1">
      <c r="BM423" s="252"/>
      <c r="BN423" s="252"/>
      <c r="BO423" s="252"/>
    </row>
    <row r="424" spans="65:67" s="253" customFormat="1">
      <c r="BM424" s="252"/>
      <c r="BN424" s="252"/>
      <c r="BO424" s="252"/>
    </row>
    <row r="425" spans="65:67" s="253" customFormat="1">
      <c r="BM425" s="252"/>
      <c r="BN425" s="252"/>
      <c r="BO425" s="252"/>
    </row>
    <row r="426" spans="65:67" s="253" customFormat="1">
      <c r="BM426" s="252"/>
      <c r="BN426" s="252"/>
      <c r="BO426" s="252"/>
    </row>
    <row r="427" spans="65:67" s="253" customFormat="1">
      <c r="BM427" s="252"/>
      <c r="BN427" s="252"/>
      <c r="BO427" s="252"/>
    </row>
    <row r="428" spans="65:67" s="253" customFormat="1">
      <c r="BM428" s="252"/>
      <c r="BN428" s="252"/>
      <c r="BO428" s="252"/>
    </row>
    <row r="429" spans="65:67" s="253" customFormat="1">
      <c r="BM429" s="252"/>
      <c r="BN429" s="252"/>
      <c r="BO429" s="252"/>
    </row>
    <row r="430" spans="65:67" s="253" customFormat="1">
      <c r="BM430" s="252"/>
      <c r="BN430" s="252"/>
      <c r="BO430" s="252"/>
    </row>
    <row r="431" spans="65:67" s="253" customFormat="1">
      <c r="BM431" s="252"/>
      <c r="BN431" s="252"/>
      <c r="BO431" s="252"/>
    </row>
    <row r="432" spans="65:67" s="253" customFormat="1">
      <c r="BM432" s="252"/>
      <c r="BN432" s="252"/>
      <c r="BO432" s="252"/>
    </row>
    <row r="433" spans="65:67" s="253" customFormat="1">
      <c r="BM433" s="252"/>
      <c r="BN433" s="252"/>
      <c r="BO433" s="252"/>
    </row>
    <row r="434" spans="65:67" s="253" customFormat="1">
      <c r="BM434" s="252"/>
      <c r="BN434" s="252"/>
      <c r="BO434" s="252"/>
    </row>
    <row r="435" spans="65:67" s="253" customFormat="1">
      <c r="BM435" s="252"/>
      <c r="BN435" s="252"/>
      <c r="BO435" s="252"/>
    </row>
    <row r="436" spans="65:67" s="253" customFormat="1">
      <c r="BM436" s="252"/>
      <c r="BN436" s="252"/>
      <c r="BO436" s="252"/>
    </row>
    <row r="437" spans="65:67" s="253" customFormat="1">
      <c r="BM437" s="252"/>
      <c r="BN437" s="252"/>
      <c r="BO437" s="252"/>
    </row>
    <row r="438" spans="65:67" s="253" customFormat="1">
      <c r="BM438" s="252"/>
      <c r="BN438" s="252"/>
      <c r="BO438" s="252"/>
    </row>
    <row r="439" spans="65:67" s="253" customFormat="1">
      <c r="BM439" s="252"/>
      <c r="BN439" s="252"/>
      <c r="BO439" s="252"/>
    </row>
    <row r="440" spans="65:67" s="253" customFormat="1">
      <c r="BM440" s="252"/>
      <c r="BN440" s="252"/>
      <c r="BO440" s="252"/>
    </row>
    <row r="441" spans="65:67" s="253" customFormat="1">
      <c r="BM441" s="252"/>
      <c r="BN441" s="252"/>
      <c r="BO441" s="252"/>
    </row>
    <row r="442" spans="65:67" s="253" customFormat="1">
      <c r="BM442" s="252"/>
      <c r="BN442" s="252"/>
      <c r="BO442" s="252"/>
    </row>
    <row r="443" spans="65:67" s="253" customFormat="1">
      <c r="BM443" s="252"/>
      <c r="BN443" s="252"/>
      <c r="BO443" s="252"/>
    </row>
    <row r="444" spans="65:67" s="253" customFormat="1">
      <c r="BM444" s="252"/>
      <c r="BN444" s="252"/>
      <c r="BO444" s="252"/>
    </row>
    <row r="445" spans="65:67" s="253" customFormat="1">
      <c r="BM445" s="252"/>
      <c r="BN445" s="252"/>
      <c r="BO445" s="252"/>
    </row>
    <row r="446" spans="65:67" s="253" customFormat="1">
      <c r="BM446" s="252"/>
      <c r="BN446" s="252"/>
      <c r="BO446" s="252"/>
    </row>
    <row r="447" spans="65:67" s="253" customFormat="1">
      <c r="BM447" s="252"/>
      <c r="BN447" s="252"/>
      <c r="BO447" s="252"/>
    </row>
    <row r="448" spans="65:67" s="253" customFormat="1">
      <c r="BM448" s="252"/>
      <c r="BN448" s="252"/>
      <c r="BO448" s="252"/>
    </row>
    <row r="449" spans="65:67" s="253" customFormat="1">
      <c r="BM449" s="252"/>
      <c r="BN449" s="252"/>
      <c r="BO449" s="252"/>
    </row>
    <row r="450" spans="65:67" s="253" customFormat="1">
      <c r="BM450" s="252"/>
      <c r="BN450" s="252"/>
      <c r="BO450" s="252"/>
    </row>
    <row r="451" spans="65:67" s="253" customFormat="1">
      <c r="BM451" s="252"/>
      <c r="BN451" s="252"/>
      <c r="BO451" s="252"/>
    </row>
    <row r="452" spans="65:67" s="253" customFormat="1">
      <c r="BM452" s="252"/>
      <c r="BN452" s="252"/>
      <c r="BO452" s="252"/>
    </row>
    <row r="453" spans="65:67" s="253" customFormat="1">
      <c r="BM453" s="252"/>
      <c r="BN453" s="252"/>
      <c r="BO453" s="252"/>
    </row>
    <row r="454" spans="65:67" s="253" customFormat="1">
      <c r="BM454" s="252"/>
      <c r="BN454" s="252"/>
      <c r="BO454" s="252"/>
    </row>
    <row r="455" spans="65:67" s="253" customFormat="1">
      <c r="BM455" s="252"/>
      <c r="BN455" s="252"/>
      <c r="BO455" s="252"/>
    </row>
    <row r="456" spans="65:67" s="253" customFormat="1">
      <c r="BM456" s="252"/>
      <c r="BN456" s="252"/>
      <c r="BO456" s="252"/>
    </row>
    <row r="457" spans="65:67" s="253" customFormat="1">
      <c r="BM457" s="252"/>
      <c r="BN457" s="252"/>
      <c r="BO457" s="252"/>
    </row>
    <row r="458" spans="65:67" s="253" customFormat="1">
      <c r="BM458" s="252"/>
      <c r="BN458" s="252"/>
      <c r="BO458" s="252"/>
    </row>
    <row r="459" spans="65:67" s="253" customFormat="1">
      <c r="BM459" s="252"/>
      <c r="BN459" s="252"/>
      <c r="BO459" s="252"/>
    </row>
    <row r="460" spans="65:67" s="253" customFormat="1">
      <c r="BM460" s="252"/>
      <c r="BN460" s="252"/>
      <c r="BO460" s="252"/>
    </row>
    <row r="461" spans="65:67" s="253" customFormat="1">
      <c r="BM461" s="252"/>
      <c r="BN461" s="252"/>
      <c r="BO461" s="252"/>
    </row>
    <row r="462" spans="65:67" s="253" customFormat="1">
      <c r="BM462" s="252"/>
      <c r="BN462" s="252"/>
      <c r="BO462" s="252"/>
    </row>
    <row r="463" spans="65:67" s="253" customFormat="1">
      <c r="BM463" s="252"/>
      <c r="BN463" s="252"/>
      <c r="BO463" s="252"/>
    </row>
    <row r="464" spans="65:67" s="253" customFormat="1">
      <c r="BM464" s="252"/>
      <c r="BN464" s="252"/>
      <c r="BO464" s="252"/>
    </row>
    <row r="465" spans="65:67" s="253" customFormat="1">
      <c r="BM465" s="252"/>
      <c r="BN465" s="252"/>
      <c r="BO465" s="252"/>
    </row>
    <row r="466" spans="65:67" s="253" customFormat="1">
      <c r="BM466" s="252"/>
      <c r="BN466" s="252"/>
      <c r="BO466" s="252"/>
    </row>
    <row r="467" spans="65:67" s="253" customFormat="1">
      <c r="BM467" s="252"/>
      <c r="BN467" s="252"/>
      <c r="BO467" s="252"/>
    </row>
    <row r="468" spans="65:67" s="253" customFormat="1">
      <c r="BM468" s="252"/>
      <c r="BN468" s="252"/>
      <c r="BO468" s="252"/>
    </row>
    <row r="469" spans="65:67" s="253" customFormat="1">
      <c r="BM469" s="252"/>
      <c r="BN469" s="252"/>
      <c r="BO469" s="252"/>
    </row>
    <row r="470" spans="65:67" s="253" customFormat="1">
      <c r="BM470" s="252"/>
      <c r="BN470" s="252"/>
      <c r="BO470" s="252"/>
    </row>
    <row r="471" spans="65:67" s="253" customFormat="1">
      <c r="BM471" s="252"/>
      <c r="BN471" s="252"/>
      <c r="BO471" s="252"/>
    </row>
    <row r="472" spans="65:67" s="253" customFormat="1">
      <c r="BM472" s="252"/>
      <c r="BN472" s="252"/>
      <c r="BO472" s="252"/>
    </row>
    <row r="473" spans="65:67" s="253" customFormat="1">
      <c r="BM473" s="252"/>
      <c r="BN473" s="252"/>
      <c r="BO473" s="252"/>
    </row>
    <row r="474" spans="65:67" s="253" customFormat="1">
      <c r="BM474" s="252"/>
      <c r="BN474" s="252"/>
      <c r="BO474" s="252"/>
    </row>
    <row r="475" spans="65:67" s="253" customFormat="1">
      <c r="BM475" s="252"/>
      <c r="BN475" s="252"/>
      <c r="BO475" s="252"/>
    </row>
    <row r="476" spans="65:67" s="253" customFormat="1">
      <c r="BM476" s="252"/>
      <c r="BN476" s="252"/>
      <c r="BO476" s="252"/>
    </row>
    <row r="477" spans="65:67" s="253" customFormat="1">
      <c r="BM477" s="252"/>
      <c r="BN477" s="252"/>
      <c r="BO477" s="252"/>
    </row>
    <row r="478" spans="65:67" s="253" customFormat="1">
      <c r="BM478" s="252"/>
      <c r="BN478" s="252"/>
      <c r="BO478" s="252"/>
    </row>
    <row r="479" spans="65:67" s="253" customFormat="1">
      <c r="BM479" s="252"/>
      <c r="BN479" s="252"/>
      <c r="BO479" s="252"/>
    </row>
    <row r="480" spans="65:67" s="253" customFormat="1">
      <c r="BM480" s="252"/>
      <c r="BN480" s="252"/>
      <c r="BO480" s="252"/>
    </row>
    <row r="481" spans="65:67" s="253" customFormat="1">
      <c r="BM481" s="252"/>
      <c r="BN481" s="252"/>
      <c r="BO481" s="252"/>
    </row>
    <row r="482" spans="65:67" s="253" customFormat="1">
      <c r="BM482" s="252"/>
      <c r="BN482" s="252"/>
      <c r="BO482" s="252"/>
    </row>
    <row r="483" spans="65:67" s="253" customFormat="1">
      <c r="BM483" s="252"/>
      <c r="BN483" s="252"/>
      <c r="BO483" s="252"/>
    </row>
    <row r="484" spans="65:67" s="253" customFormat="1">
      <c r="BM484" s="252"/>
      <c r="BN484" s="252"/>
      <c r="BO484" s="252"/>
    </row>
    <row r="485" spans="65:67" s="253" customFormat="1">
      <c r="BM485" s="252"/>
      <c r="BN485" s="252"/>
      <c r="BO485" s="252"/>
    </row>
    <row r="486" spans="65:67" s="253" customFormat="1">
      <c r="BM486" s="252"/>
      <c r="BN486" s="252"/>
      <c r="BO486" s="252"/>
    </row>
    <row r="487" spans="65:67" s="253" customFormat="1">
      <c r="BM487" s="252"/>
      <c r="BN487" s="252"/>
      <c r="BO487" s="252"/>
    </row>
    <row r="488" spans="65:67" s="253" customFormat="1">
      <c r="BM488" s="252"/>
      <c r="BN488" s="252"/>
      <c r="BO488" s="252"/>
    </row>
    <row r="489" spans="65:67" s="253" customFormat="1">
      <c r="BM489" s="252"/>
      <c r="BN489" s="252"/>
      <c r="BO489" s="252"/>
    </row>
    <row r="490" spans="65:67" s="253" customFormat="1">
      <c r="BM490" s="252"/>
      <c r="BN490" s="252"/>
      <c r="BO490" s="252"/>
    </row>
    <row r="491" spans="65:67" s="253" customFormat="1">
      <c r="BM491" s="252"/>
      <c r="BN491" s="252"/>
      <c r="BO491" s="252"/>
    </row>
    <row r="492" spans="65:67" s="253" customFormat="1">
      <c r="BM492" s="252"/>
      <c r="BN492" s="252"/>
      <c r="BO492" s="252"/>
    </row>
    <row r="493" spans="65:67" s="253" customFormat="1">
      <c r="BM493" s="252"/>
      <c r="BN493" s="252"/>
      <c r="BO493" s="252"/>
    </row>
    <row r="494" spans="65:67" s="253" customFormat="1">
      <c r="BM494" s="252"/>
      <c r="BN494" s="252"/>
      <c r="BO494" s="252"/>
    </row>
    <row r="495" spans="65:67" s="253" customFormat="1">
      <c r="BM495" s="252"/>
      <c r="BN495" s="252"/>
      <c r="BO495" s="252"/>
    </row>
    <row r="496" spans="65:67" s="253" customFormat="1">
      <c r="BM496" s="252"/>
      <c r="BN496" s="252"/>
      <c r="BO496" s="252"/>
    </row>
    <row r="497" spans="65:67" s="253" customFormat="1">
      <c r="BM497" s="252"/>
      <c r="BN497" s="252"/>
      <c r="BO497" s="252"/>
    </row>
    <row r="498" spans="65:67" s="253" customFormat="1">
      <c r="BM498" s="252"/>
      <c r="BN498" s="252"/>
      <c r="BO498" s="252"/>
    </row>
    <row r="499" spans="65:67" s="253" customFormat="1">
      <c r="BM499" s="252"/>
      <c r="BN499" s="252"/>
      <c r="BO499" s="252"/>
    </row>
    <row r="500" spans="65:67" s="253" customFormat="1">
      <c r="BM500" s="252"/>
      <c r="BN500" s="252"/>
      <c r="BO500" s="252"/>
    </row>
    <row r="501" spans="65:67" s="253" customFormat="1">
      <c r="BM501" s="252"/>
      <c r="BN501" s="252"/>
      <c r="BO501" s="252"/>
    </row>
    <row r="502" spans="65:67" s="253" customFormat="1">
      <c r="BM502" s="252"/>
      <c r="BN502" s="252"/>
      <c r="BO502" s="252"/>
    </row>
    <row r="503" spans="65:67" s="253" customFormat="1">
      <c r="BM503" s="252"/>
      <c r="BN503" s="252"/>
      <c r="BO503" s="252"/>
    </row>
    <row r="504" spans="65:67" s="253" customFormat="1">
      <c r="BM504" s="252"/>
      <c r="BN504" s="252"/>
      <c r="BO504" s="252"/>
    </row>
    <row r="505" spans="65:67" s="253" customFormat="1">
      <c r="BM505" s="252"/>
      <c r="BN505" s="252"/>
      <c r="BO505" s="252"/>
    </row>
    <row r="506" spans="65:67" s="253" customFormat="1">
      <c r="BM506" s="252"/>
      <c r="BN506" s="252"/>
      <c r="BO506" s="252"/>
    </row>
    <row r="507" spans="65:67" s="253" customFormat="1">
      <c r="BM507" s="252"/>
      <c r="BN507" s="252"/>
      <c r="BO507" s="252"/>
    </row>
    <row r="508" spans="65:67" s="253" customFormat="1">
      <c r="BM508" s="252"/>
      <c r="BN508" s="252"/>
      <c r="BO508" s="252"/>
    </row>
    <row r="509" spans="65:67" s="253" customFormat="1">
      <c r="BM509" s="252"/>
      <c r="BN509" s="252"/>
      <c r="BO509" s="252"/>
    </row>
    <row r="510" spans="65:67" s="253" customFormat="1">
      <c r="BM510" s="252"/>
      <c r="BN510" s="252"/>
      <c r="BO510" s="252"/>
    </row>
    <row r="511" spans="65:67" s="253" customFormat="1">
      <c r="BM511" s="252"/>
      <c r="BN511" s="252"/>
      <c r="BO511" s="252"/>
    </row>
    <row r="512" spans="65:67" s="253" customFormat="1">
      <c r="BM512" s="252"/>
      <c r="BN512" s="252"/>
      <c r="BO512" s="252"/>
    </row>
    <row r="513" spans="65:67" s="253" customFormat="1">
      <c r="BM513" s="252"/>
      <c r="BN513" s="252"/>
      <c r="BO513" s="252"/>
    </row>
    <row r="514" spans="65:67" s="253" customFormat="1">
      <c r="BM514" s="252"/>
      <c r="BN514" s="252"/>
      <c r="BO514" s="252"/>
    </row>
    <row r="515" spans="65:67" s="253" customFormat="1">
      <c r="BM515" s="252"/>
      <c r="BN515" s="252"/>
      <c r="BO515" s="252"/>
    </row>
    <row r="516" spans="65:67" s="253" customFormat="1">
      <c r="BM516" s="252"/>
      <c r="BN516" s="252"/>
      <c r="BO516" s="252"/>
    </row>
    <row r="517" spans="65:67" s="253" customFormat="1">
      <c r="BM517" s="252"/>
      <c r="BN517" s="252"/>
      <c r="BO517" s="252"/>
    </row>
    <row r="518" spans="65:67" s="253" customFormat="1">
      <c r="BM518" s="252"/>
      <c r="BN518" s="252"/>
      <c r="BO518" s="252"/>
    </row>
    <row r="519" spans="65:67" s="253" customFormat="1">
      <c r="BM519" s="252"/>
      <c r="BN519" s="252"/>
      <c r="BO519" s="252"/>
    </row>
    <row r="520" spans="65:67" s="253" customFormat="1">
      <c r="BM520" s="252"/>
      <c r="BN520" s="252"/>
      <c r="BO520" s="252"/>
    </row>
    <row r="521" spans="65:67" s="253" customFormat="1">
      <c r="BM521" s="252"/>
      <c r="BN521" s="252"/>
      <c r="BO521" s="252"/>
    </row>
    <row r="522" spans="65:67" s="253" customFormat="1">
      <c r="BM522" s="252"/>
      <c r="BN522" s="252"/>
      <c r="BO522" s="252"/>
    </row>
    <row r="523" spans="65:67" s="253" customFormat="1">
      <c r="BM523" s="252"/>
      <c r="BN523" s="252"/>
      <c r="BO523" s="252"/>
    </row>
    <row r="524" spans="65:67" s="253" customFormat="1">
      <c r="BM524" s="252"/>
      <c r="BN524" s="252"/>
      <c r="BO524" s="252"/>
    </row>
    <row r="525" spans="65:67" s="253" customFormat="1">
      <c r="BM525" s="252"/>
      <c r="BN525" s="252"/>
      <c r="BO525" s="252"/>
    </row>
    <row r="526" spans="65:67" s="253" customFormat="1">
      <c r="BM526" s="252"/>
      <c r="BN526" s="252"/>
      <c r="BO526" s="252"/>
    </row>
    <row r="527" spans="65:67" s="253" customFormat="1">
      <c r="BM527" s="252"/>
      <c r="BN527" s="252"/>
      <c r="BO527" s="252"/>
    </row>
    <row r="528" spans="65:67" s="253" customFormat="1">
      <c r="BM528" s="252"/>
      <c r="BN528" s="252"/>
      <c r="BO528" s="252"/>
    </row>
    <row r="529" spans="65:67" s="253" customFormat="1">
      <c r="BM529" s="252"/>
      <c r="BN529" s="252"/>
      <c r="BO529" s="252"/>
    </row>
    <row r="530" spans="65:67" s="253" customFormat="1">
      <c r="BM530" s="252"/>
      <c r="BN530" s="252"/>
      <c r="BO530" s="252"/>
    </row>
    <row r="531" spans="65:67" s="253" customFormat="1">
      <c r="BM531" s="252"/>
      <c r="BN531" s="252"/>
      <c r="BO531" s="252"/>
    </row>
    <row r="532" spans="65:67" s="253" customFormat="1">
      <c r="BM532" s="252"/>
      <c r="BN532" s="252"/>
      <c r="BO532" s="252"/>
    </row>
    <row r="533" spans="65:67" s="253" customFormat="1">
      <c r="BM533" s="252"/>
      <c r="BN533" s="252"/>
      <c r="BO533" s="252"/>
    </row>
    <row r="534" spans="65:67" s="253" customFormat="1">
      <c r="BM534" s="252"/>
      <c r="BN534" s="252"/>
      <c r="BO534" s="252"/>
    </row>
    <row r="535" spans="65:67" s="253" customFormat="1">
      <c r="BM535" s="252"/>
      <c r="BN535" s="252"/>
      <c r="BO535" s="252"/>
    </row>
    <row r="536" spans="65:67" s="253" customFormat="1">
      <c r="BM536" s="252"/>
      <c r="BN536" s="252"/>
      <c r="BO536" s="252"/>
    </row>
    <row r="537" spans="65:67" s="253" customFormat="1">
      <c r="BM537" s="252"/>
      <c r="BN537" s="252"/>
      <c r="BO537" s="252"/>
    </row>
    <row r="538" spans="65:67" s="253" customFormat="1">
      <c r="BM538" s="252"/>
      <c r="BN538" s="252"/>
      <c r="BO538" s="252"/>
    </row>
    <row r="539" spans="65:67" s="253" customFormat="1">
      <c r="BM539" s="252"/>
      <c r="BN539" s="252"/>
      <c r="BO539" s="252"/>
    </row>
    <row r="540" spans="65:67" s="253" customFormat="1">
      <c r="BM540" s="252"/>
      <c r="BN540" s="252"/>
      <c r="BO540" s="252"/>
    </row>
    <row r="541" spans="65:67" s="253" customFormat="1">
      <c r="BM541" s="252"/>
      <c r="BN541" s="252"/>
      <c r="BO541" s="252"/>
    </row>
    <row r="542" spans="65:67" s="253" customFormat="1">
      <c r="BM542" s="252"/>
      <c r="BN542" s="252"/>
      <c r="BO542" s="252"/>
    </row>
    <row r="543" spans="65:67" s="253" customFormat="1">
      <c r="BM543" s="252"/>
      <c r="BN543" s="252"/>
      <c r="BO543" s="252"/>
    </row>
    <row r="544" spans="65:67" s="253" customFormat="1">
      <c r="BM544" s="252"/>
      <c r="BN544" s="252"/>
      <c r="BO544" s="252"/>
    </row>
    <row r="545" spans="65:67" s="253" customFormat="1">
      <c r="BM545" s="252"/>
      <c r="BN545" s="252"/>
      <c r="BO545" s="252"/>
    </row>
    <row r="546" spans="65:67" s="253" customFormat="1">
      <c r="BM546" s="252"/>
      <c r="BN546" s="252"/>
      <c r="BO546" s="252"/>
    </row>
    <row r="547" spans="65:67" s="253" customFormat="1">
      <c r="BM547" s="252"/>
      <c r="BN547" s="252"/>
      <c r="BO547" s="252"/>
    </row>
    <row r="548" spans="65:67" s="253" customFormat="1">
      <c r="BM548" s="252"/>
      <c r="BN548" s="252"/>
      <c r="BO548" s="252"/>
    </row>
    <row r="549" spans="65:67" s="253" customFormat="1">
      <c r="BM549" s="252"/>
      <c r="BN549" s="252"/>
      <c r="BO549" s="252"/>
    </row>
    <row r="550" spans="65:67" s="253" customFormat="1">
      <c r="BM550" s="252"/>
      <c r="BN550" s="252"/>
      <c r="BO550" s="252"/>
    </row>
    <row r="551" spans="65:67" s="253" customFormat="1">
      <c r="BM551" s="252"/>
      <c r="BN551" s="252"/>
      <c r="BO551" s="252"/>
    </row>
    <row r="552" spans="65:67" s="253" customFormat="1">
      <c r="BM552" s="252"/>
      <c r="BN552" s="252"/>
      <c r="BO552" s="252"/>
    </row>
    <row r="553" spans="65:67" s="253" customFormat="1">
      <c r="BM553" s="252"/>
      <c r="BN553" s="252"/>
      <c r="BO553" s="252"/>
    </row>
    <row r="554" spans="65:67" s="253" customFormat="1">
      <c r="BM554" s="252"/>
      <c r="BN554" s="252"/>
      <c r="BO554" s="252"/>
    </row>
    <row r="555" spans="65:67" s="253" customFormat="1">
      <c r="BM555" s="252"/>
      <c r="BN555" s="252"/>
      <c r="BO555" s="252"/>
    </row>
    <row r="556" spans="65:67" s="253" customFormat="1">
      <c r="BM556" s="252"/>
      <c r="BN556" s="252"/>
      <c r="BO556" s="252"/>
    </row>
    <row r="557" spans="65:67" s="253" customFormat="1">
      <c r="BM557" s="252"/>
      <c r="BN557" s="252"/>
      <c r="BO557" s="252"/>
    </row>
    <row r="558" spans="65:67" s="253" customFormat="1">
      <c r="BM558" s="252"/>
      <c r="BN558" s="252"/>
      <c r="BO558" s="252"/>
    </row>
    <row r="559" spans="65:67" s="253" customFormat="1">
      <c r="BM559" s="252"/>
      <c r="BN559" s="252"/>
      <c r="BO559" s="252"/>
    </row>
    <row r="560" spans="65:67" s="253" customFormat="1">
      <c r="BM560" s="252"/>
      <c r="BN560" s="252"/>
      <c r="BO560" s="252"/>
    </row>
    <row r="561" spans="65:67" s="253" customFormat="1">
      <c r="BM561" s="252"/>
      <c r="BN561" s="252"/>
      <c r="BO561" s="252"/>
    </row>
    <row r="562" spans="65:67" s="253" customFormat="1">
      <c r="BM562" s="252"/>
      <c r="BN562" s="252"/>
      <c r="BO562" s="252"/>
    </row>
    <row r="563" spans="65:67" s="253" customFormat="1">
      <c r="BM563" s="252"/>
      <c r="BN563" s="252"/>
      <c r="BO563" s="252"/>
    </row>
    <row r="564" spans="65:67" s="253" customFormat="1">
      <c r="BM564" s="252"/>
      <c r="BN564" s="252"/>
      <c r="BO564" s="252"/>
    </row>
    <row r="565" spans="65:67" s="253" customFormat="1">
      <c r="BM565" s="252"/>
      <c r="BN565" s="252"/>
      <c r="BO565" s="252"/>
    </row>
    <row r="566" spans="65:67" s="253" customFormat="1">
      <c r="BM566" s="252"/>
      <c r="BN566" s="252"/>
      <c r="BO566" s="252"/>
    </row>
    <row r="567" spans="65:67" s="253" customFormat="1">
      <c r="BM567" s="252"/>
      <c r="BN567" s="252"/>
      <c r="BO567" s="252"/>
    </row>
    <row r="568" spans="65:67" s="253" customFormat="1">
      <c r="BM568" s="252"/>
      <c r="BN568" s="252"/>
      <c r="BO568" s="252"/>
    </row>
    <row r="569" spans="65:67" s="253" customFormat="1">
      <c r="BM569" s="252"/>
      <c r="BN569" s="252"/>
      <c r="BO569" s="252"/>
    </row>
    <row r="570" spans="65:67" s="253" customFormat="1">
      <c r="BM570" s="252"/>
      <c r="BN570" s="252"/>
      <c r="BO570" s="252"/>
    </row>
    <row r="571" spans="65:67" s="253" customFormat="1">
      <c r="BM571" s="252"/>
      <c r="BN571" s="252"/>
      <c r="BO571" s="252"/>
    </row>
    <row r="572" spans="65:67" s="253" customFormat="1">
      <c r="BM572" s="252"/>
      <c r="BN572" s="252"/>
      <c r="BO572" s="252"/>
    </row>
    <row r="573" spans="65:67" s="253" customFormat="1">
      <c r="BM573" s="252"/>
      <c r="BN573" s="252"/>
      <c r="BO573" s="252"/>
    </row>
    <row r="574" spans="65:67" s="253" customFormat="1">
      <c r="BM574" s="252"/>
      <c r="BN574" s="252"/>
      <c r="BO574" s="252"/>
    </row>
    <row r="575" spans="65:67" s="253" customFormat="1">
      <c r="BM575" s="252"/>
      <c r="BN575" s="252"/>
      <c r="BO575" s="252"/>
    </row>
    <row r="576" spans="65:67" s="253" customFormat="1">
      <c r="BM576" s="252"/>
      <c r="BN576" s="252"/>
      <c r="BO576" s="252"/>
    </row>
    <row r="577" spans="65:67" s="253" customFormat="1">
      <c r="BM577" s="252"/>
      <c r="BN577" s="252"/>
      <c r="BO577" s="252"/>
    </row>
    <row r="578" spans="65:67" s="253" customFormat="1">
      <c r="BM578" s="252"/>
      <c r="BN578" s="252"/>
      <c r="BO578" s="252"/>
    </row>
    <row r="579" spans="65:67" s="253" customFormat="1">
      <c r="BM579" s="252"/>
      <c r="BN579" s="252"/>
      <c r="BO579" s="252"/>
    </row>
    <row r="580" spans="65:67" s="253" customFormat="1">
      <c r="BM580" s="252"/>
      <c r="BN580" s="252"/>
      <c r="BO580" s="252"/>
    </row>
    <row r="581" spans="65:67" s="253" customFormat="1">
      <c r="BM581" s="252"/>
      <c r="BN581" s="252"/>
      <c r="BO581" s="252"/>
    </row>
    <row r="582" spans="65:67" s="253" customFormat="1">
      <c r="BM582" s="252"/>
      <c r="BN582" s="252"/>
      <c r="BO582" s="252"/>
    </row>
    <row r="583" spans="65:67" s="253" customFormat="1">
      <c r="BM583" s="252"/>
      <c r="BN583" s="252"/>
      <c r="BO583" s="252"/>
    </row>
    <row r="584" spans="65:67" s="253" customFormat="1">
      <c r="BM584" s="252"/>
      <c r="BN584" s="252"/>
      <c r="BO584" s="252"/>
    </row>
    <row r="585" spans="65:67" s="253" customFormat="1">
      <c r="BM585" s="252"/>
      <c r="BN585" s="252"/>
      <c r="BO585" s="252"/>
    </row>
    <row r="586" spans="65:67" s="253" customFormat="1">
      <c r="BM586" s="252"/>
      <c r="BN586" s="252"/>
      <c r="BO586" s="252"/>
    </row>
    <row r="587" spans="65:67" s="253" customFormat="1">
      <c r="BM587" s="252"/>
      <c r="BN587" s="252"/>
      <c r="BO587" s="252"/>
    </row>
    <row r="588" spans="65:67" s="253" customFormat="1">
      <c r="BM588" s="252"/>
      <c r="BN588" s="252"/>
      <c r="BO588" s="252"/>
    </row>
    <row r="589" spans="65:67" s="253" customFormat="1">
      <c r="BM589" s="252"/>
      <c r="BN589" s="252"/>
      <c r="BO589" s="252"/>
    </row>
    <row r="590" spans="65:67" s="253" customFormat="1">
      <c r="BM590" s="252"/>
      <c r="BN590" s="252"/>
      <c r="BO590" s="252"/>
    </row>
    <row r="591" spans="65:67" s="253" customFormat="1">
      <c r="BM591" s="252"/>
      <c r="BN591" s="252"/>
      <c r="BO591" s="252"/>
    </row>
    <row r="592" spans="65:67" s="253" customFormat="1">
      <c r="BM592" s="252"/>
      <c r="BN592" s="252"/>
      <c r="BO592" s="252"/>
    </row>
    <row r="593" spans="65:67" s="253" customFormat="1">
      <c r="BM593" s="252"/>
      <c r="BN593" s="252"/>
      <c r="BO593" s="252"/>
    </row>
    <row r="594" spans="65:67" s="253" customFormat="1">
      <c r="BM594" s="252"/>
      <c r="BN594" s="252"/>
      <c r="BO594" s="252"/>
    </row>
    <row r="595" spans="65:67" s="253" customFormat="1">
      <c r="BM595" s="252"/>
      <c r="BN595" s="252"/>
      <c r="BO595" s="252"/>
    </row>
    <row r="596" spans="65:67" s="253" customFormat="1">
      <c r="BM596" s="252"/>
      <c r="BN596" s="252"/>
      <c r="BO596" s="252"/>
    </row>
    <row r="597" spans="65:67" s="253" customFormat="1">
      <c r="BM597" s="252"/>
      <c r="BN597" s="252"/>
      <c r="BO597" s="252"/>
    </row>
    <row r="598" spans="65:67" s="253" customFormat="1">
      <c r="BM598" s="252"/>
      <c r="BN598" s="252"/>
      <c r="BO598" s="252"/>
    </row>
    <row r="599" spans="65:67" s="253" customFormat="1">
      <c r="BM599" s="252"/>
      <c r="BN599" s="252"/>
      <c r="BO599" s="252"/>
    </row>
    <row r="600" spans="65:67" s="253" customFormat="1">
      <c r="BM600" s="252"/>
      <c r="BN600" s="252"/>
      <c r="BO600" s="252"/>
    </row>
    <row r="601" spans="65:67" s="253" customFormat="1">
      <c r="BM601" s="252"/>
      <c r="BN601" s="252"/>
      <c r="BO601" s="252"/>
    </row>
    <row r="602" spans="65:67" s="253" customFormat="1">
      <c r="BM602" s="252"/>
      <c r="BN602" s="252"/>
      <c r="BO602" s="252"/>
    </row>
    <row r="603" spans="65:67" s="253" customFormat="1">
      <c r="BM603" s="252"/>
      <c r="BN603" s="252"/>
      <c r="BO603" s="252"/>
    </row>
    <row r="604" spans="65:67" s="253" customFormat="1">
      <c r="BM604" s="252"/>
      <c r="BN604" s="252"/>
      <c r="BO604" s="252"/>
    </row>
    <row r="605" spans="65:67" s="253" customFormat="1">
      <c r="BM605" s="252"/>
      <c r="BN605" s="252"/>
      <c r="BO605" s="252"/>
    </row>
    <row r="606" spans="65:67" s="253" customFormat="1">
      <c r="BM606" s="252"/>
      <c r="BN606" s="252"/>
      <c r="BO606" s="252"/>
    </row>
    <row r="607" spans="65:67" s="253" customFormat="1">
      <c r="BM607" s="252"/>
      <c r="BN607" s="252"/>
      <c r="BO607" s="252"/>
    </row>
    <row r="608" spans="65:67" s="253" customFormat="1">
      <c r="BM608" s="252"/>
      <c r="BN608" s="252"/>
      <c r="BO608" s="252"/>
    </row>
    <row r="609" spans="65:67" s="253" customFormat="1">
      <c r="BM609" s="252"/>
      <c r="BN609" s="252"/>
      <c r="BO609" s="252"/>
    </row>
    <row r="610" spans="65:67" s="253" customFormat="1">
      <c r="BM610" s="252"/>
      <c r="BN610" s="252"/>
      <c r="BO610" s="252"/>
    </row>
    <row r="611" spans="65:67" s="253" customFormat="1">
      <c r="BM611" s="252"/>
      <c r="BN611" s="252"/>
      <c r="BO611" s="252"/>
    </row>
    <row r="612" spans="65:67" s="253" customFormat="1">
      <c r="BM612" s="252"/>
      <c r="BN612" s="252"/>
      <c r="BO612" s="252"/>
    </row>
    <row r="613" spans="65:67" s="253" customFormat="1">
      <c r="BM613" s="252"/>
      <c r="BN613" s="252"/>
      <c r="BO613" s="252"/>
    </row>
    <row r="614" spans="65:67" s="253" customFormat="1">
      <c r="BM614" s="252"/>
      <c r="BN614" s="252"/>
      <c r="BO614" s="252"/>
    </row>
    <row r="615" spans="65:67" s="253" customFormat="1">
      <c r="BM615" s="252"/>
      <c r="BN615" s="252"/>
      <c r="BO615" s="252"/>
    </row>
    <row r="616" spans="65:67" s="253" customFormat="1">
      <c r="BM616" s="252"/>
      <c r="BN616" s="252"/>
      <c r="BO616" s="252"/>
    </row>
    <row r="617" spans="65:67" s="253" customFormat="1">
      <c r="BM617" s="252"/>
      <c r="BN617" s="252"/>
      <c r="BO617" s="252"/>
    </row>
    <row r="618" spans="65:67" s="253" customFormat="1">
      <c r="BM618" s="252"/>
      <c r="BN618" s="252"/>
      <c r="BO618" s="252"/>
    </row>
    <row r="619" spans="65:67" s="253" customFormat="1">
      <c r="BM619" s="252"/>
      <c r="BN619" s="252"/>
      <c r="BO619" s="252"/>
    </row>
    <row r="620" spans="65:67" s="253" customFormat="1">
      <c r="BM620" s="252"/>
      <c r="BN620" s="252"/>
      <c r="BO620" s="252"/>
    </row>
    <row r="621" spans="65:67" s="253" customFormat="1">
      <c r="BM621" s="252"/>
      <c r="BN621" s="252"/>
      <c r="BO621" s="252"/>
    </row>
    <row r="622" spans="65:67" s="253" customFormat="1">
      <c r="BM622" s="252"/>
      <c r="BN622" s="252"/>
      <c r="BO622" s="252"/>
    </row>
    <row r="623" spans="65:67" s="253" customFormat="1">
      <c r="BM623" s="252"/>
      <c r="BN623" s="252"/>
      <c r="BO623" s="252"/>
    </row>
    <row r="624" spans="65:67" s="253" customFormat="1">
      <c r="BM624" s="252"/>
      <c r="BN624" s="252"/>
      <c r="BO624" s="252"/>
    </row>
    <row r="625" spans="65:67" s="253" customFormat="1">
      <c r="BM625" s="252"/>
      <c r="BN625" s="252"/>
      <c r="BO625" s="252"/>
    </row>
    <row r="626" spans="65:67" s="253" customFormat="1">
      <c r="BM626" s="252"/>
      <c r="BN626" s="252"/>
      <c r="BO626" s="252"/>
    </row>
    <row r="627" spans="65:67" s="253" customFormat="1">
      <c r="BM627" s="252"/>
      <c r="BN627" s="252"/>
      <c r="BO627" s="252"/>
    </row>
    <row r="628" spans="65:67" s="253" customFormat="1">
      <c r="BM628" s="252"/>
      <c r="BN628" s="252"/>
      <c r="BO628" s="252"/>
    </row>
    <row r="629" spans="65:67" s="253" customFormat="1">
      <c r="BM629" s="252"/>
      <c r="BN629" s="252"/>
      <c r="BO629" s="252"/>
    </row>
    <row r="630" spans="65:67" s="253" customFormat="1">
      <c r="BM630" s="252"/>
      <c r="BN630" s="252"/>
      <c r="BO630" s="252"/>
    </row>
    <row r="631" spans="65:67" s="253" customFormat="1">
      <c r="BM631" s="252"/>
      <c r="BN631" s="252"/>
      <c r="BO631" s="252"/>
    </row>
    <row r="632" spans="65:67" s="253" customFormat="1">
      <c r="BM632" s="252"/>
      <c r="BN632" s="252"/>
      <c r="BO632" s="252"/>
    </row>
    <row r="633" spans="65:67" s="253" customFormat="1">
      <c r="BM633" s="252"/>
      <c r="BN633" s="252"/>
      <c r="BO633" s="252"/>
    </row>
    <row r="634" spans="65:67" s="253" customFormat="1">
      <c r="BM634" s="252"/>
      <c r="BN634" s="252"/>
      <c r="BO634" s="252"/>
    </row>
    <row r="635" spans="65:67" s="253" customFormat="1">
      <c r="BM635" s="252"/>
      <c r="BN635" s="252"/>
      <c r="BO635" s="252"/>
    </row>
    <row r="636" spans="65:67" s="253" customFormat="1">
      <c r="BM636" s="252"/>
      <c r="BN636" s="252"/>
      <c r="BO636" s="252"/>
    </row>
    <row r="637" spans="65:67" s="253" customFormat="1">
      <c r="BM637" s="252"/>
      <c r="BN637" s="252"/>
      <c r="BO637" s="252"/>
    </row>
    <row r="638" spans="65:67" s="253" customFormat="1">
      <c r="BM638" s="252"/>
      <c r="BN638" s="252"/>
      <c r="BO638" s="252"/>
    </row>
    <row r="639" spans="65:67" s="253" customFormat="1">
      <c r="BM639" s="252"/>
      <c r="BN639" s="252"/>
      <c r="BO639" s="252"/>
    </row>
    <row r="640" spans="65:67" s="253" customFormat="1">
      <c r="BM640" s="252"/>
      <c r="BN640" s="252"/>
      <c r="BO640" s="252"/>
    </row>
    <row r="641" spans="65:67" s="253" customFormat="1">
      <c r="BM641" s="252"/>
      <c r="BN641" s="252"/>
      <c r="BO641" s="252"/>
    </row>
    <row r="642" spans="65:67" s="253" customFormat="1">
      <c r="BM642" s="252"/>
      <c r="BN642" s="252"/>
      <c r="BO642" s="252"/>
    </row>
    <row r="643" spans="65:67" s="253" customFormat="1">
      <c r="BM643" s="252"/>
      <c r="BN643" s="252"/>
      <c r="BO643" s="252"/>
    </row>
    <row r="644" spans="65:67" s="253" customFormat="1">
      <c r="BM644" s="252"/>
      <c r="BN644" s="252"/>
      <c r="BO644" s="252"/>
    </row>
    <row r="645" spans="65:67" s="253" customFormat="1">
      <c r="BM645" s="252"/>
      <c r="BN645" s="252"/>
      <c r="BO645" s="252"/>
    </row>
    <row r="646" spans="65:67" s="253" customFormat="1">
      <c r="BM646" s="252"/>
      <c r="BN646" s="252"/>
      <c r="BO646" s="252"/>
    </row>
    <row r="647" spans="65:67" s="253" customFormat="1">
      <c r="BM647" s="252"/>
      <c r="BN647" s="252"/>
      <c r="BO647" s="252"/>
    </row>
    <row r="648" spans="65:67" s="253" customFormat="1">
      <c r="BM648" s="252"/>
      <c r="BN648" s="252"/>
      <c r="BO648" s="252"/>
    </row>
    <row r="649" spans="65:67" s="253" customFormat="1">
      <c r="BM649" s="252"/>
      <c r="BN649" s="252"/>
      <c r="BO649" s="252"/>
    </row>
    <row r="650" spans="65:67" s="253" customFormat="1">
      <c r="BM650" s="252"/>
      <c r="BN650" s="252"/>
      <c r="BO650" s="252"/>
    </row>
    <row r="651" spans="65:67" s="253" customFormat="1">
      <c r="BM651" s="252"/>
      <c r="BN651" s="252"/>
      <c r="BO651" s="252"/>
    </row>
    <row r="652" spans="65:67" s="253" customFormat="1">
      <c r="BM652" s="252"/>
      <c r="BN652" s="252"/>
      <c r="BO652" s="252"/>
    </row>
    <row r="653" spans="65:67" s="253" customFormat="1">
      <c r="BM653" s="252"/>
      <c r="BN653" s="252"/>
      <c r="BO653" s="252"/>
    </row>
    <row r="654" spans="65:67" s="253" customFormat="1">
      <c r="BM654" s="252"/>
      <c r="BN654" s="252"/>
      <c r="BO654" s="252"/>
    </row>
    <row r="655" spans="65:67" s="253" customFormat="1">
      <c r="BM655" s="252"/>
      <c r="BN655" s="252"/>
      <c r="BO655" s="252"/>
    </row>
    <row r="656" spans="65:67" s="253" customFormat="1">
      <c r="BM656" s="252"/>
      <c r="BN656" s="252"/>
      <c r="BO656" s="252"/>
    </row>
    <row r="657" spans="65:67" s="253" customFormat="1">
      <c r="BM657" s="252"/>
      <c r="BN657" s="252"/>
      <c r="BO657" s="252"/>
    </row>
    <row r="658" spans="65:67" s="253" customFormat="1">
      <c r="BM658" s="252"/>
      <c r="BN658" s="252"/>
      <c r="BO658" s="252"/>
    </row>
    <row r="659" spans="65:67" s="253" customFormat="1">
      <c r="BM659" s="252"/>
      <c r="BN659" s="252"/>
      <c r="BO659" s="252"/>
    </row>
    <row r="660" spans="65:67" s="253" customFormat="1">
      <c r="BM660" s="252"/>
      <c r="BN660" s="252"/>
      <c r="BO660" s="252"/>
    </row>
    <row r="661" spans="65:67" s="253" customFormat="1">
      <c r="BM661" s="252"/>
      <c r="BN661" s="252"/>
      <c r="BO661" s="252"/>
    </row>
    <row r="662" spans="65:67" s="253" customFormat="1">
      <c r="BM662" s="252"/>
      <c r="BN662" s="252"/>
      <c r="BO662" s="252"/>
    </row>
    <row r="663" spans="65:67" s="253" customFormat="1">
      <c r="BM663" s="252"/>
      <c r="BN663" s="252"/>
      <c r="BO663" s="252"/>
    </row>
    <row r="664" spans="65:67" s="253" customFormat="1">
      <c r="BM664" s="252"/>
      <c r="BN664" s="252"/>
      <c r="BO664" s="252"/>
    </row>
    <row r="665" spans="65:67" s="253" customFormat="1">
      <c r="BM665" s="252"/>
      <c r="BN665" s="252"/>
      <c r="BO665" s="252"/>
    </row>
    <row r="666" spans="65:67" s="253" customFormat="1">
      <c r="BM666" s="252"/>
      <c r="BN666" s="252"/>
      <c r="BO666" s="252"/>
    </row>
    <row r="667" spans="65:67" s="253" customFormat="1">
      <c r="BM667" s="252"/>
      <c r="BN667" s="252"/>
      <c r="BO667" s="252"/>
    </row>
    <row r="668" spans="65:67" s="253" customFormat="1">
      <c r="BM668" s="252"/>
      <c r="BN668" s="252"/>
      <c r="BO668" s="252"/>
    </row>
    <row r="669" spans="65:67" s="253" customFormat="1">
      <c r="BM669" s="252"/>
      <c r="BN669" s="252"/>
      <c r="BO669" s="252"/>
    </row>
    <row r="670" spans="65:67" s="253" customFormat="1">
      <c r="BM670" s="252"/>
      <c r="BN670" s="252"/>
      <c r="BO670" s="252"/>
    </row>
    <row r="671" spans="65:67" s="253" customFormat="1">
      <c r="BM671" s="252"/>
      <c r="BN671" s="252"/>
      <c r="BO671" s="252"/>
    </row>
    <row r="672" spans="65:67" s="253" customFormat="1">
      <c r="BM672" s="252"/>
      <c r="BN672" s="252"/>
      <c r="BO672" s="252"/>
    </row>
    <row r="673" spans="65:67" s="253" customFormat="1">
      <c r="BM673" s="252"/>
      <c r="BN673" s="252"/>
      <c r="BO673" s="252"/>
    </row>
    <row r="674" spans="65:67" s="253" customFormat="1">
      <c r="BM674" s="252"/>
      <c r="BN674" s="252"/>
      <c r="BO674" s="252"/>
    </row>
    <row r="675" spans="65:67" s="253" customFormat="1">
      <c r="BM675" s="252"/>
      <c r="BN675" s="252"/>
      <c r="BO675" s="252"/>
    </row>
    <row r="676" spans="65:67" s="253" customFormat="1">
      <c r="BM676" s="252"/>
      <c r="BN676" s="252"/>
      <c r="BO676" s="252"/>
    </row>
    <row r="677" spans="65:67" s="253" customFormat="1">
      <c r="BM677" s="252"/>
      <c r="BN677" s="252"/>
      <c r="BO677" s="252"/>
    </row>
    <row r="678" spans="65:67" s="253" customFormat="1">
      <c r="BM678" s="252"/>
      <c r="BN678" s="252"/>
      <c r="BO678" s="252"/>
    </row>
    <row r="679" spans="65:67" s="253" customFormat="1">
      <c r="BM679" s="252"/>
      <c r="BN679" s="252"/>
      <c r="BO679" s="252"/>
    </row>
    <row r="680" spans="65:67" s="253" customFormat="1">
      <c r="BM680" s="252"/>
      <c r="BN680" s="252"/>
      <c r="BO680" s="252"/>
    </row>
    <row r="681" spans="65:67" s="253" customFormat="1">
      <c r="BM681" s="252"/>
      <c r="BN681" s="252"/>
      <c r="BO681" s="252"/>
    </row>
    <row r="682" spans="65:67" s="253" customFormat="1">
      <c r="BM682" s="252"/>
      <c r="BN682" s="252"/>
      <c r="BO682" s="252"/>
    </row>
    <row r="683" spans="65:67" s="253" customFormat="1">
      <c r="BM683" s="252"/>
      <c r="BN683" s="252"/>
      <c r="BO683" s="252"/>
    </row>
    <row r="684" spans="65:67" s="253" customFormat="1">
      <c r="BM684" s="252"/>
      <c r="BN684" s="252"/>
      <c r="BO684" s="252"/>
    </row>
    <row r="685" spans="65:67" s="253" customFormat="1">
      <c r="BM685" s="252"/>
      <c r="BN685" s="252"/>
      <c r="BO685" s="252"/>
    </row>
    <row r="686" spans="65:67" s="253" customFormat="1">
      <c r="BM686" s="252"/>
      <c r="BN686" s="252"/>
      <c r="BO686" s="252"/>
    </row>
    <row r="687" spans="65:67" s="253" customFormat="1">
      <c r="BM687" s="252"/>
      <c r="BN687" s="252"/>
      <c r="BO687" s="252"/>
    </row>
    <row r="688" spans="65:67" s="253" customFormat="1">
      <c r="BM688" s="252"/>
      <c r="BN688" s="252"/>
      <c r="BO688" s="252"/>
    </row>
    <row r="689" spans="65:67" s="253" customFormat="1">
      <c r="BM689" s="252"/>
      <c r="BN689" s="252"/>
      <c r="BO689" s="252"/>
    </row>
    <row r="690" spans="65:67" s="253" customFormat="1">
      <c r="BM690" s="252"/>
      <c r="BN690" s="252"/>
      <c r="BO690" s="252"/>
    </row>
    <row r="691" spans="65:67" s="253" customFormat="1">
      <c r="BM691" s="252"/>
      <c r="BN691" s="252"/>
      <c r="BO691" s="252"/>
    </row>
    <row r="692" spans="65:67" s="253" customFormat="1">
      <c r="BM692" s="252"/>
      <c r="BN692" s="252"/>
      <c r="BO692" s="252"/>
    </row>
    <row r="693" spans="65:67" s="253" customFormat="1">
      <c r="BM693" s="252"/>
      <c r="BN693" s="252"/>
      <c r="BO693" s="252"/>
    </row>
    <row r="694" spans="65:67" s="253" customFormat="1">
      <c r="BM694" s="252"/>
      <c r="BN694" s="252"/>
      <c r="BO694" s="252"/>
    </row>
    <row r="695" spans="65:67" s="253" customFormat="1">
      <c r="BM695" s="252"/>
      <c r="BN695" s="252"/>
      <c r="BO695" s="252"/>
    </row>
    <row r="696" spans="65:67" s="253" customFormat="1">
      <c r="BM696" s="252"/>
      <c r="BN696" s="252"/>
      <c r="BO696" s="252"/>
    </row>
    <row r="697" spans="65:67" s="253" customFormat="1">
      <c r="BM697" s="252"/>
      <c r="BN697" s="252"/>
      <c r="BO697" s="252"/>
    </row>
    <row r="698" spans="65:67" s="253" customFormat="1">
      <c r="BM698" s="252"/>
      <c r="BN698" s="252"/>
      <c r="BO698" s="252"/>
    </row>
    <row r="699" spans="65:67" s="253" customFormat="1">
      <c r="BM699" s="252"/>
      <c r="BN699" s="252"/>
      <c r="BO699" s="252"/>
    </row>
    <row r="700" spans="65:67" s="253" customFormat="1">
      <c r="BM700" s="252"/>
      <c r="BN700" s="252"/>
      <c r="BO700" s="252"/>
    </row>
    <row r="701" spans="65:67" s="253" customFormat="1">
      <c r="BM701" s="252"/>
      <c r="BN701" s="252"/>
      <c r="BO701" s="252"/>
    </row>
    <row r="702" spans="65:67" s="253" customFormat="1">
      <c r="BM702" s="252"/>
      <c r="BN702" s="252"/>
      <c r="BO702" s="252"/>
    </row>
    <row r="703" spans="65:67" s="253" customFormat="1">
      <c r="BM703" s="252"/>
      <c r="BN703" s="252"/>
      <c r="BO703" s="252"/>
    </row>
    <row r="704" spans="65:67" s="253" customFormat="1">
      <c r="BM704" s="252"/>
      <c r="BN704" s="252"/>
      <c r="BO704" s="252"/>
    </row>
    <row r="705" spans="65:67" s="253" customFormat="1">
      <c r="BM705" s="252"/>
      <c r="BN705" s="252"/>
      <c r="BO705" s="252"/>
    </row>
    <row r="706" spans="65:67" s="253" customFormat="1">
      <c r="BM706" s="252"/>
      <c r="BN706" s="252"/>
      <c r="BO706" s="252"/>
    </row>
    <row r="707" spans="65:67" s="253" customFormat="1">
      <c r="BM707" s="252"/>
      <c r="BN707" s="252"/>
      <c r="BO707" s="252"/>
    </row>
    <row r="708" spans="65:67" s="253" customFormat="1">
      <c r="BM708" s="252"/>
      <c r="BN708" s="252"/>
      <c r="BO708" s="252"/>
    </row>
    <row r="709" spans="65:67" s="253" customFormat="1">
      <c r="BM709" s="252"/>
      <c r="BN709" s="252"/>
      <c r="BO709" s="252"/>
    </row>
    <row r="710" spans="65:67" s="253" customFormat="1">
      <c r="BM710" s="252"/>
      <c r="BN710" s="252"/>
      <c r="BO710" s="252"/>
    </row>
    <row r="711" spans="65:67" s="253" customFormat="1">
      <c r="BM711" s="252"/>
      <c r="BN711" s="252"/>
      <c r="BO711" s="252"/>
    </row>
    <row r="712" spans="65:67" s="253" customFormat="1">
      <c r="BM712" s="252"/>
      <c r="BN712" s="252"/>
      <c r="BO712" s="252"/>
    </row>
    <row r="713" spans="65:67" s="253" customFormat="1">
      <c r="BM713" s="252"/>
      <c r="BN713" s="252"/>
      <c r="BO713" s="252"/>
    </row>
    <row r="714" spans="65:67" s="253" customFormat="1">
      <c r="BM714" s="252"/>
      <c r="BN714" s="252"/>
      <c r="BO714" s="252"/>
    </row>
    <row r="715" spans="65:67" s="253" customFormat="1">
      <c r="BM715" s="252"/>
      <c r="BN715" s="252"/>
      <c r="BO715" s="252"/>
    </row>
    <row r="716" spans="65:67" s="253" customFormat="1">
      <c r="BM716" s="252"/>
      <c r="BN716" s="252"/>
      <c r="BO716" s="252"/>
    </row>
    <row r="717" spans="65:67" s="253" customFormat="1">
      <c r="BM717" s="252"/>
      <c r="BN717" s="252"/>
      <c r="BO717" s="252"/>
    </row>
    <row r="718" spans="65:67" s="253" customFormat="1">
      <c r="BM718" s="252"/>
      <c r="BN718" s="252"/>
      <c r="BO718" s="252"/>
    </row>
    <row r="719" spans="65:67" s="253" customFormat="1">
      <c r="BM719" s="252"/>
      <c r="BN719" s="252"/>
      <c r="BO719" s="252"/>
    </row>
    <row r="720" spans="65:67" s="253" customFormat="1">
      <c r="BM720" s="252"/>
      <c r="BN720" s="252"/>
      <c r="BO720" s="252"/>
    </row>
    <row r="721" spans="65:67" s="253" customFormat="1">
      <c r="BM721" s="252"/>
      <c r="BN721" s="252"/>
      <c r="BO721" s="252"/>
    </row>
    <row r="722" spans="65:67" s="253" customFormat="1">
      <c r="BM722" s="252"/>
      <c r="BN722" s="252"/>
      <c r="BO722" s="252"/>
    </row>
    <row r="723" spans="65:67" s="253" customFormat="1">
      <c r="BM723" s="252"/>
      <c r="BN723" s="252"/>
      <c r="BO723" s="252"/>
    </row>
    <row r="724" spans="65:67" s="253" customFormat="1">
      <c r="BM724" s="252"/>
      <c r="BN724" s="252"/>
      <c r="BO724" s="252"/>
    </row>
    <row r="725" spans="65:67" s="253" customFormat="1">
      <c r="BM725" s="252"/>
      <c r="BN725" s="252"/>
      <c r="BO725" s="252"/>
    </row>
    <row r="726" spans="65:67" s="253" customFormat="1">
      <c r="BM726" s="252"/>
      <c r="BN726" s="252"/>
      <c r="BO726" s="252"/>
    </row>
    <row r="727" spans="65:67" s="253" customFormat="1">
      <c r="BM727" s="252"/>
      <c r="BN727" s="252"/>
      <c r="BO727" s="252"/>
    </row>
    <row r="728" spans="65:67" s="253" customFormat="1">
      <c r="BM728" s="252"/>
      <c r="BN728" s="252"/>
      <c r="BO728" s="252"/>
    </row>
    <row r="729" spans="65:67" s="253" customFormat="1">
      <c r="BM729" s="252"/>
      <c r="BN729" s="252"/>
      <c r="BO729" s="252"/>
    </row>
    <row r="730" spans="65:67" s="253" customFormat="1">
      <c r="BM730" s="252"/>
      <c r="BN730" s="252"/>
      <c r="BO730" s="252"/>
    </row>
    <row r="731" spans="65:67" s="253" customFormat="1">
      <c r="BM731" s="252"/>
      <c r="BN731" s="252"/>
      <c r="BO731" s="252"/>
    </row>
    <row r="732" spans="65:67" s="253" customFormat="1">
      <c r="BM732" s="252"/>
      <c r="BN732" s="252"/>
      <c r="BO732" s="252"/>
    </row>
  </sheetData>
  <mergeCells count="35">
    <mergeCell ref="E4:G4"/>
    <mergeCell ref="I4:K4"/>
    <mergeCell ref="E5:F5"/>
    <mergeCell ref="I5:J5"/>
    <mergeCell ref="Q5:R5"/>
    <mergeCell ref="M4:O4"/>
    <mergeCell ref="M5:N5"/>
    <mergeCell ref="M1:BK1"/>
    <mergeCell ref="M2:BK2"/>
    <mergeCell ref="M3:BK3"/>
    <mergeCell ref="AS5:AT5"/>
    <mergeCell ref="AK4:AM4"/>
    <mergeCell ref="AK5:AL5"/>
    <mergeCell ref="AG4:AI4"/>
    <mergeCell ref="AG5:AH5"/>
    <mergeCell ref="AW4:AY4"/>
    <mergeCell ref="AW5:AX5"/>
    <mergeCell ref="BA4:BC4"/>
    <mergeCell ref="BA5:BB5"/>
    <mergeCell ref="A4:C4"/>
    <mergeCell ref="A5:B5"/>
    <mergeCell ref="BE4:BG4"/>
    <mergeCell ref="BE5:BF5"/>
    <mergeCell ref="BI4:BK4"/>
    <mergeCell ref="BI5:BJ5"/>
    <mergeCell ref="AO4:AQ4"/>
    <mergeCell ref="AS4:AU4"/>
    <mergeCell ref="AO5:AP5"/>
    <mergeCell ref="AC4:AE4"/>
    <mergeCell ref="AC5:AD5"/>
    <mergeCell ref="Y4:AA4"/>
    <mergeCell ref="Y5:Z5"/>
    <mergeCell ref="U4:W4"/>
    <mergeCell ref="U5:V5"/>
    <mergeCell ref="Q4:S4"/>
  </mergeCells>
  <printOptions horizontalCentered="1"/>
  <pageMargins left="0.59055118110236227" right="0" top="0.59055118110236227" bottom="0.19685039370078741" header="0" footer="0"/>
  <pageSetup paperSize="9" orientation="portrait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BP732"/>
  <sheetViews>
    <sheetView topLeftCell="A196" workbookViewId="0">
      <selection activeCell="C21" sqref="C21"/>
    </sheetView>
  </sheetViews>
  <sheetFormatPr defaultRowHeight="18.75"/>
  <cols>
    <col min="1" max="1" width="6.625" style="281" customWidth="1"/>
    <col min="2" max="2" width="8.625" style="281" customWidth="1"/>
    <col min="3" max="3" width="10.625" style="281" customWidth="1"/>
    <col min="4" max="4" width="4.625" style="281" customWidth="1"/>
    <col min="5" max="5" width="6.75" style="281" customWidth="1"/>
    <col min="6" max="6" width="8.75" style="281" customWidth="1"/>
    <col min="7" max="7" width="10.75" style="281" customWidth="1"/>
    <col min="8" max="8" width="1.75" style="281" customWidth="1"/>
    <col min="9" max="9" width="6.75" style="281" customWidth="1"/>
    <col min="10" max="10" width="8.75" style="281" customWidth="1"/>
    <col min="11" max="11" width="10.75" style="281" customWidth="1"/>
    <col min="12" max="12" width="1.75" style="281" customWidth="1"/>
    <col min="13" max="13" width="6.625" style="281" customWidth="1"/>
    <col min="14" max="14" width="8.625" style="281" customWidth="1"/>
    <col min="15" max="15" width="10.625" style="281" customWidth="1"/>
    <col min="16" max="16" width="0.875" style="281" customWidth="1"/>
    <col min="17" max="17" width="6.625" style="281" customWidth="1"/>
    <col min="18" max="18" width="8.625" style="281" customWidth="1"/>
    <col min="19" max="19" width="10.625" style="281" customWidth="1"/>
    <col min="20" max="20" width="0.875" style="281" customWidth="1"/>
    <col min="21" max="21" width="6.625" style="281" customWidth="1"/>
    <col min="22" max="22" width="8.625" style="281" customWidth="1"/>
    <col min="23" max="23" width="10.625" style="281" customWidth="1"/>
    <col min="24" max="24" width="0.875" style="281" customWidth="1"/>
    <col min="25" max="25" width="6.625" style="281" customWidth="1"/>
    <col min="26" max="26" width="8.625" style="281" customWidth="1"/>
    <col min="27" max="27" width="10.625" style="281" customWidth="1"/>
    <col min="28" max="28" width="0.875" style="281" customWidth="1"/>
    <col min="29" max="29" width="6.625" style="281" customWidth="1"/>
    <col min="30" max="30" width="8.625" style="281" customWidth="1"/>
    <col min="31" max="31" width="10.625" style="281" customWidth="1"/>
    <col min="32" max="32" width="0.875" style="281" customWidth="1"/>
    <col min="33" max="33" width="6.625" style="281" customWidth="1"/>
    <col min="34" max="34" width="8.625" style="281" customWidth="1"/>
    <col min="35" max="35" width="10.625" style="281" customWidth="1"/>
    <col min="36" max="36" width="0.875" style="281" customWidth="1"/>
    <col min="37" max="37" width="6.625" style="281" customWidth="1"/>
    <col min="38" max="38" width="8.625" style="281" customWidth="1"/>
    <col min="39" max="39" width="10.625" style="281" customWidth="1"/>
    <col min="40" max="40" width="0.875" style="281" customWidth="1"/>
    <col min="41" max="41" width="6.625" style="281" customWidth="1"/>
    <col min="42" max="42" width="8.625" style="281" customWidth="1"/>
    <col min="43" max="43" width="10.625" style="281" customWidth="1"/>
    <col min="44" max="44" width="0.875" style="281" customWidth="1"/>
    <col min="45" max="45" width="6.625" style="281" customWidth="1"/>
    <col min="46" max="46" width="8.625" style="281" customWidth="1"/>
    <col min="47" max="47" width="10.625" style="281" customWidth="1"/>
    <col min="48" max="48" width="0.875" style="281" customWidth="1"/>
    <col min="49" max="49" width="6.625" style="281" customWidth="1"/>
    <col min="50" max="50" width="8.625" style="281" customWidth="1"/>
    <col min="51" max="51" width="10.625" style="281" customWidth="1"/>
    <col min="52" max="52" width="0.875" style="281" customWidth="1"/>
    <col min="53" max="53" width="6.625" style="281" customWidth="1"/>
    <col min="54" max="54" width="8.625" style="281" customWidth="1"/>
    <col min="55" max="55" width="10.625" style="281" customWidth="1"/>
    <col min="56" max="56" width="0.875" style="281" customWidth="1"/>
    <col min="57" max="57" width="6.625" style="281" customWidth="1"/>
    <col min="58" max="58" width="8.625" style="281" customWidth="1"/>
    <col min="59" max="59" width="10.625" style="281" customWidth="1"/>
    <col min="60" max="60" width="0.875" style="281" customWidth="1"/>
    <col min="61" max="61" width="6.625" style="281" customWidth="1"/>
    <col min="62" max="62" width="8.625" style="281" customWidth="1"/>
    <col min="63" max="63" width="10.625" style="281" customWidth="1"/>
    <col min="64" max="64" width="0.875" style="281" customWidth="1"/>
    <col min="65" max="67" width="9" style="252"/>
    <col min="68" max="68" width="9" style="279" customWidth="1"/>
    <col min="69" max="288" width="9" style="279"/>
    <col min="289" max="289" width="6" style="279" customWidth="1"/>
    <col min="290" max="291" width="9.375" style="279" customWidth="1"/>
    <col min="292" max="292" width="3.625" style="279" customWidth="1"/>
    <col min="293" max="293" width="5.875" style="279" customWidth="1"/>
    <col min="294" max="294" width="10.125" style="279" customWidth="1"/>
    <col min="295" max="295" width="9.375" style="279" customWidth="1"/>
    <col min="296" max="296" width="3.625" style="279" customWidth="1"/>
    <col min="297" max="297" width="5.875" style="279" customWidth="1"/>
    <col min="298" max="299" width="9.375" style="279" customWidth="1"/>
    <col min="300" max="312" width="0" style="279" hidden="1" customWidth="1"/>
    <col min="313" max="313" width="1.75" style="279" customWidth="1"/>
    <col min="314" max="314" width="6.375" style="279" customWidth="1"/>
    <col min="315" max="316" width="9.375" style="279" customWidth="1"/>
    <col min="317" max="317" width="4.125" style="279" customWidth="1"/>
    <col min="318" max="318" width="5.875" style="279" customWidth="1"/>
    <col min="319" max="319" width="10.125" style="279" customWidth="1"/>
    <col min="320" max="320" width="9.375" style="279" customWidth="1"/>
    <col min="321" max="321" width="4" style="279" customWidth="1"/>
    <col min="322" max="322" width="5.875" style="279" customWidth="1"/>
    <col min="323" max="323" width="9.375" style="279" customWidth="1"/>
    <col min="324" max="324" width="11.25" style="279" customWidth="1"/>
    <col min="325" max="544" width="9" style="279"/>
    <col min="545" max="545" width="6" style="279" customWidth="1"/>
    <col min="546" max="547" width="9.375" style="279" customWidth="1"/>
    <col min="548" max="548" width="3.625" style="279" customWidth="1"/>
    <col min="549" max="549" width="5.875" style="279" customWidth="1"/>
    <col min="550" max="550" width="10.125" style="279" customWidth="1"/>
    <col min="551" max="551" width="9.375" style="279" customWidth="1"/>
    <col min="552" max="552" width="3.625" style="279" customWidth="1"/>
    <col min="553" max="553" width="5.875" style="279" customWidth="1"/>
    <col min="554" max="555" width="9.375" style="279" customWidth="1"/>
    <col min="556" max="568" width="0" style="279" hidden="1" customWidth="1"/>
    <col min="569" max="569" width="1.75" style="279" customWidth="1"/>
    <col min="570" max="570" width="6.375" style="279" customWidth="1"/>
    <col min="571" max="572" width="9.375" style="279" customWidth="1"/>
    <col min="573" max="573" width="4.125" style="279" customWidth="1"/>
    <col min="574" max="574" width="5.875" style="279" customWidth="1"/>
    <col min="575" max="575" width="10.125" style="279" customWidth="1"/>
    <col min="576" max="576" width="9.375" style="279" customWidth="1"/>
    <col min="577" max="577" width="4" style="279" customWidth="1"/>
    <col min="578" max="578" width="5.875" style="279" customWidth="1"/>
    <col min="579" max="579" width="9.375" style="279" customWidth="1"/>
    <col min="580" max="580" width="11.25" style="279" customWidth="1"/>
    <col min="581" max="800" width="9" style="279"/>
    <col min="801" max="801" width="6" style="279" customWidth="1"/>
    <col min="802" max="803" width="9.375" style="279" customWidth="1"/>
    <col min="804" max="804" width="3.625" style="279" customWidth="1"/>
    <col min="805" max="805" width="5.875" style="279" customWidth="1"/>
    <col min="806" max="806" width="10.125" style="279" customWidth="1"/>
    <col min="807" max="807" width="9.375" style="279" customWidth="1"/>
    <col min="808" max="808" width="3.625" style="279" customWidth="1"/>
    <col min="809" max="809" width="5.875" style="279" customWidth="1"/>
    <col min="810" max="811" width="9.375" style="279" customWidth="1"/>
    <col min="812" max="824" width="0" style="279" hidden="1" customWidth="1"/>
    <col min="825" max="825" width="1.75" style="279" customWidth="1"/>
    <col min="826" max="826" width="6.375" style="279" customWidth="1"/>
    <col min="827" max="828" width="9.375" style="279" customWidth="1"/>
    <col min="829" max="829" width="4.125" style="279" customWidth="1"/>
    <col min="830" max="830" width="5.875" style="279" customWidth="1"/>
    <col min="831" max="831" width="10.125" style="279" customWidth="1"/>
    <col min="832" max="832" width="9.375" style="279" customWidth="1"/>
    <col min="833" max="833" width="4" style="279" customWidth="1"/>
    <col min="834" max="834" width="5.875" style="279" customWidth="1"/>
    <col min="835" max="835" width="9.375" style="279" customWidth="1"/>
    <col min="836" max="836" width="11.25" style="279" customWidth="1"/>
    <col min="837" max="1056" width="9" style="279"/>
    <col min="1057" max="1057" width="6" style="279" customWidth="1"/>
    <col min="1058" max="1059" width="9.375" style="279" customWidth="1"/>
    <col min="1060" max="1060" width="3.625" style="279" customWidth="1"/>
    <col min="1061" max="1061" width="5.875" style="279" customWidth="1"/>
    <col min="1062" max="1062" width="10.125" style="279" customWidth="1"/>
    <col min="1063" max="1063" width="9.375" style="279" customWidth="1"/>
    <col min="1064" max="1064" width="3.625" style="279" customWidth="1"/>
    <col min="1065" max="1065" width="5.875" style="279" customWidth="1"/>
    <col min="1066" max="1067" width="9.375" style="279" customWidth="1"/>
    <col min="1068" max="1080" width="0" style="279" hidden="1" customWidth="1"/>
    <col min="1081" max="1081" width="1.75" style="279" customWidth="1"/>
    <col min="1082" max="1082" width="6.375" style="279" customWidth="1"/>
    <col min="1083" max="1084" width="9.375" style="279" customWidth="1"/>
    <col min="1085" max="1085" width="4.125" style="279" customWidth="1"/>
    <col min="1086" max="1086" width="5.875" style="279" customWidth="1"/>
    <col min="1087" max="1087" width="10.125" style="279" customWidth="1"/>
    <col min="1088" max="1088" width="9.375" style="279" customWidth="1"/>
    <col min="1089" max="1089" width="4" style="279" customWidth="1"/>
    <col min="1090" max="1090" width="5.875" style="279" customWidth="1"/>
    <col min="1091" max="1091" width="9.375" style="279" customWidth="1"/>
    <col min="1092" max="1092" width="11.25" style="279" customWidth="1"/>
    <col min="1093" max="1312" width="9" style="279"/>
    <col min="1313" max="1313" width="6" style="279" customWidth="1"/>
    <col min="1314" max="1315" width="9.375" style="279" customWidth="1"/>
    <col min="1316" max="1316" width="3.625" style="279" customWidth="1"/>
    <col min="1317" max="1317" width="5.875" style="279" customWidth="1"/>
    <col min="1318" max="1318" width="10.125" style="279" customWidth="1"/>
    <col min="1319" max="1319" width="9.375" style="279" customWidth="1"/>
    <col min="1320" max="1320" width="3.625" style="279" customWidth="1"/>
    <col min="1321" max="1321" width="5.875" style="279" customWidth="1"/>
    <col min="1322" max="1323" width="9.375" style="279" customWidth="1"/>
    <col min="1324" max="1336" width="0" style="279" hidden="1" customWidth="1"/>
    <col min="1337" max="1337" width="1.75" style="279" customWidth="1"/>
    <col min="1338" max="1338" width="6.375" style="279" customWidth="1"/>
    <col min="1339" max="1340" width="9.375" style="279" customWidth="1"/>
    <col min="1341" max="1341" width="4.125" style="279" customWidth="1"/>
    <col min="1342" max="1342" width="5.875" style="279" customWidth="1"/>
    <col min="1343" max="1343" width="10.125" style="279" customWidth="1"/>
    <col min="1344" max="1344" width="9.375" style="279" customWidth="1"/>
    <col min="1345" max="1345" width="4" style="279" customWidth="1"/>
    <col min="1346" max="1346" width="5.875" style="279" customWidth="1"/>
    <col min="1347" max="1347" width="9.375" style="279" customWidth="1"/>
    <col min="1348" max="1348" width="11.25" style="279" customWidth="1"/>
    <col min="1349" max="1568" width="9" style="279"/>
    <col min="1569" max="1569" width="6" style="279" customWidth="1"/>
    <col min="1570" max="1571" width="9.375" style="279" customWidth="1"/>
    <col min="1572" max="1572" width="3.625" style="279" customWidth="1"/>
    <col min="1573" max="1573" width="5.875" style="279" customWidth="1"/>
    <col min="1574" max="1574" width="10.125" style="279" customWidth="1"/>
    <col min="1575" max="1575" width="9.375" style="279" customWidth="1"/>
    <col min="1576" max="1576" width="3.625" style="279" customWidth="1"/>
    <col min="1577" max="1577" width="5.875" style="279" customWidth="1"/>
    <col min="1578" max="1579" width="9.375" style="279" customWidth="1"/>
    <col min="1580" max="1592" width="0" style="279" hidden="1" customWidth="1"/>
    <col min="1593" max="1593" width="1.75" style="279" customWidth="1"/>
    <col min="1594" max="1594" width="6.375" style="279" customWidth="1"/>
    <col min="1595" max="1596" width="9.375" style="279" customWidth="1"/>
    <col min="1597" max="1597" width="4.125" style="279" customWidth="1"/>
    <col min="1598" max="1598" width="5.875" style="279" customWidth="1"/>
    <col min="1599" max="1599" width="10.125" style="279" customWidth="1"/>
    <col min="1600" max="1600" width="9.375" style="279" customWidth="1"/>
    <col min="1601" max="1601" width="4" style="279" customWidth="1"/>
    <col min="1602" max="1602" width="5.875" style="279" customWidth="1"/>
    <col min="1603" max="1603" width="9.375" style="279" customWidth="1"/>
    <col min="1604" max="1604" width="11.25" style="279" customWidth="1"/>
    <col min="1605" max="1824" width="9" style="279"/>
    <col min="1825" max="1825" width="6" style="279" customWidth="1"/>
    <col min="1826" max="1827" width="9.375" style="279" customWidth="1"/>
    <col min="1828" max="1828" width="3.625" style="279" customWidth="1"/>
    <col min="1829" max="1829" width="5.875" style="279" customWidth="1"/>
    <col min="1830" max="1830" width="10.125" style="279" customWidth="1"/>
    <col min="1831" max="1831" width="9.375" style="279" customWidth="1"/>
    <col min="1832" max="1832" width="3.625" style="279" customWidth="1"/>
    <col min="1833" max="1833" width="5.875" style="279" customWidth="1"/>
    <col min="1834" max="1835" width="9.375" style="279" customWidth="1"/>
    <col min="1836" max="1848" width="0" style="279" hidden="1" customWidth="1"/>
    <col min="1849" max="1849" width="1.75" style="279" customWidth="1"/>
    <col min="1850" max="1850" width="6.375" style="279" customWidth="1"/>
    <col min="1851" max="1852" width="9.375" style="279" customWidth="1"/>
    <col min="1853" max="1853" width="4.125" style="279" customWidth="1"/>
    <col min="1854" max="1854" width="5.875" style="279" customWidth="1"/>
    <col min="1855" max="1855" width="10.125" style="279" customWidth="1"/>
    <col min="1856" max="1856" width="9.375" style="279" customWidth="1"/>
    <col min="1857" max="1857" width="4" style="279" customWidth="1"/>
    <col min="1858" max="1858" width="5.875" style="279" customWidth="1"/>
    <col min="1859" max="1859" width="9.375" style="279" customWidth="1"/>
    <col min="1860" max="1860" width="11.25" style="279" customWidth="1"/>
    <col min="1861" max="2080" width="9" style="279"/>
    <col min="2081" max="2081" width="6" style="279" customWidth="1"/>
    <col min="2082" max="2083" width="9.375" style="279" customWidth="1"/>
    <col min="2084" max="2084" width="3.625" style="279" customWidth="1"/>
    <col min="2085" max="2085" width="5.875" style="279" customWidth="1"/>
    <col min="2086" max="2086" width="10.125" style="279" customWidth="1"/>
    <col min="2087" max="2087" width="9.375" style="279" customWidth="1"/>
    <col min="2088" max="2088" width="3.625" style="279" customWidth="1"/>
    <col min="2089" max="2089" width="5.875" style="279" customWidth="1"/>
    <col min="2090" max="2091" width="9.375" style="279" customWidth="1"/>
    <col min="2092" max="2104" width="0" style="279" hidden="1" customWidth="1"/>
    <col min="2105" max="2105" width="1.75" style="279" customWidth="1"/>
    <col min="2106" max="2106" width="6.375" style="279" customWidth="1"/>
    <col min="2107" max="2108" width="9.375" style="279" customWidth="1"/>
    <col min="2109" max="2109" width="4.125" style="279" customWidth="1"/>
    <col min="2110" max="2110" width="5.875" style="279" customWidth="1"/>
    <col min="2111" max="2111" width="10.125" style="279" customWidth="1"/>
    <col min="2112" max="2112" width="9.375" style="279" customWidth="1"/>
    <col min="2113" max="2113" width="4" style="279" customWidth="1"/>
    <col min="2114" max="2114" width="5.875" style="279" customWidth="1"/>
    <col min="2115" max="2115" width="9.375" style="279" customWidth="1"/>
    <col min="2116" max="2116" width="11.25" style="279" customWidth="1"/>
    <col min="2117" max="2336" width="9" style="279"/>
    <col min="2337" max="2337" width="6" style="279" customWidth="1"/>
    <col min="2338" max="2339" width="9.375" style="279" customWidth="1"/>
    <col min="2340" max="2340" width="3.625" style="279" customWidth="1"/>
    <col min="2341" max="2341" width="5.875" style="279" customWidth="1"/>
    <col min="2342" max="2342" width="10.125" style="279" customWidth="1"/>
    <col min="2343" max="2343" width="9.375" style="279" customWidth="1"/>
    <col min="2344" max="2344" width="3.625" style="279" customWidth="1"/>
    <col min="2345" max="2345" width="5.875" style="279" customWidth="1"/>
    <col min="2346" max="2347" width="9.375" style="279" customWidth="1"/>
    <col min="2348" max="2360" width="0" style="279" hidden="1" customWidth="1"/>
    <col min="2361" max="2361" width="1.75" style="279" customWidth="1"/>
    <col min="2362" max="2362" width="6.375" style="279" customWidth="1"/>
    <col min="2363" max="2364" width="9.375" style="279" customWidth="1"/>
    <col min="2365" max="2365" width="4.125" style="279" customWidth="1"/>
    <col min="2366" max="2366" width="5.875" style="279" customWidth="1"/>
    <col min="2367" max="2367" width="10.125" style="279" customWidth="1"/>
    <col min="2368" max="2368" width="9.375" style="279" customWidth="1"/>
    <col min="2369" max="2369" width="4" style="279" customWidth="1"/>
    <col min="2370" max="2370" width="5.875" style="279" customWidth="1"/>
    <col min="2371" max="2371" width="9.375" style="279" customWidth="1"/>
    <col min="2372" max="2372" width="11.25" style="279" customWidth="1"/>
    <col min="2373" max="2592" width="9" style="279"/>
    <col min="2593" max="2593" width="6" style="279" customWidth="1"/>
    <col min="2594" max="2595" width="9.375" style="279" customWidth="1"/>
    <col min="2596" max="2596" width="3.625" style="279" customWidth="1"/>
    <col min="2597" max="2597" width="5.875" style="279" customWidth="1"/>
    <col min="2598" max="2598" width="10.125" style="279" customWidth="1"/>
    <col min="2599" max="2599" width="9.375" style="279" customWidth="1"/>
    <col min="2600" max="2600" width="3.625" style="279" customWidth="1"/>
    <col min="2601" max="2601" width="5.875" style="279" customWidth="1"/>
    <col min="2602" max="2603" width="9.375" style="279" customWidth="1"/>
    <col min="2604" max="2616" width="0" style="279" hidden="1" customWidth="1"/>
    <col min="2617" max="2617" width="1.75" style="279" customWidth="1"/>
    <col min="2618" max="2618" width="6.375" style="279" customWidth="1"/>
    <col min="2619" max="2620" width="9.375" style="279" customWidth="1"/>
    <col min="2621" max="2621" width="4.125" style="279" customWidth="1"/>
    <col min="2622" max="2622" width="5.875" style="279" customWidth="1"/>
    <col min="2623" max="2623" width="10.125" style="279" customWidth="1"/>
    <col min="2624" max="2624" width="9.375" style="279" customWidth="1"/>
    <col min="2625" max="2625" width="4" style="279" customWidth="1"/>
    <col min="2626" max="2626" width="5.875" style="279" customWidth="1"/>
    <col min="2627" max="2627" width="9.375" style="279" customWidth="1"/>
    <col min="2628" max="2628" width="11.25" style="279" customWidth="1"/>
    <col min="2629" max="2848" width="9" style="279"/>
    <col min="2849" max="2849" width="6" style="279" customWidth="1"/>
    <col min="2850" max="2851" width="9.375" style="279" customWidth="1"/>
    <col min="2852" max="2852" width="3.625" style="279" customWidth="1"/>
    <col min="2853" max="2853" width="5.875" style="279" customWidth="1"/>
    <col min="2854" max="2854" width="10.125" style="279" customWidth="1"/>
    <col min="2855" max="2855" width="9.375" style="279" customWidth="1"/>
    <col min="2856" max="2856" width="3.625" style="279" customWidth="1"/>
    <col min="2857" max="2857" width="5.875" style="279" customWidth="1"/>
    <col min="2858" max="2859" width="9.375" style="279" customWidth="1"/>
    <col min="2860" max="2872" width="0" style="279" hidden="1" customWidth="1"/>
    <col min="2873" max="2873" width="1.75" style="279" customWidth="1"/>
    <col min="2874" max="2874" width="6.375" style="279" customWidth="1"/>
    <col min="2875" max="2876" width="9.375" style="279" customWidth="1"/>
    <col min="2877" max="2877" width="4.125" style="279" customWidth="1"/>
    <col min="2878" max="2878" width="5.875" style="279" customWidth="1"/>
    <col min="2879" max="2879" width="10.125" style="279" customWidth="1"/>
    <col min="2880" max="2880" width="9.375" style="279" customWidth="1"/>
    <col min="2881" max="2881" width="4" style="279" customWidth="1"/>
    <col min="2882" max="2882" width="5.875" style="279" customWidth="1"/>
    <col min="2883" max="2883" width="9.375" style="279" customWidth="1"/>
    <col min="2884" max="2884" width="11.25" style="279" customWidth="1"/>
    <col min="2885" max="3104" width="9" style="279"/>
    <col min="3105" max="3105" width="6" style="279" customWidth="1"/>
    <col min="3106" max="3107" width="9.375" style="279" customWidth="1"/>
    <col min="3108" max="3108" width="3.625" style="279" customWidth="1"/>
    <col min="3109" max="3109" width="5.875" style="279" customWidth="1"/>
    <col min="3110" max="3110" width="10.125" style="279" customWidth="1"/>
    <col min="3111" max="3111" width="9.375" style="279" customWidth="1"/>
    <col min="3112" max="3112" width="3.625" style="279" customWidth="1"/>
    <col min="3113" max="3113" width="5.875" style="279" customWidth="1"/>
    <col min="3114" max="3115" width="9.375" style="279" customWidth="1"/>
    <col min="3116" max="3128" width="0" style="279" hidden="1" customWidth="1"/>
    <col min="3129" max="3129" width="1.75" style="279" customWidth="1"/>
    <col min="3130" max="3130" width="6.375" style="279" customWidth="1"/>
    <col min="3131" max="3132" width="9.375" style="279" customWidth="1"/>
    <col min="3133" max="3133" width="4.125" style="279" customWidth="1"/>
    <col min="3134" max="3134" width="5.875" style="279" customWidth="1"/>
    <col min="3135" max="3135" width="10.125" style="279" customWidth="1"/>
    <col min="3136" max="3136" width="9.375" style="279" customWidth="1"/>
    <col min="3137" max="3137" width="4" style="279" customWidth="1"/>
    <col min="3138" max="3138" width="5.875" style="279" customWidth="1"/>
    <col min="3139" max="3139" width="9.375" style="279" customWidth="1"/>
    <col min="3140" max="3140" width="11.25" style="279" customWidth="1"/>
    <col min="3141" max="3360" width="9" style="279"/>
    <col min="3361" max="3361" width="6" style="279" customWidth="1"/>
    <col min="3362" max="3363" width="9.375" style="279" customWidth="1"/>
    <col min="3364" max="3364" width="3.625" style="279" customWidth="1"/>
    <col min="3365" max="3365" width="5.875" style="279" customWidth="1"/>
    <col min="3366" max="3366" width="10.125" style="279" customWidth="1"/>
    <col min="3367" max="3367" width="9.375" style="279" customWidth="1"/>
    <col min="3368" max="3368" width="3.625" style="279" customWidth="1"/>
    <col min="3369" max="3369" width="5.875" style="279" customWidth="1"/>
    <col min="3370" max="3371" width="9.375" style="279" customWidth="1"/>
    <col min="3372" max="3384" width="0" style="279" hidden="1" customWidth="1"/>
    <col min="3385" max="3385" width="1.75" style="279" customWidth="1"/>
    <col min="3386" max="3386" width="6.375" style="279" customWidth="1"/>
    <col min="3387" max="3388" width="9.375" style="279" customWidth="1"/>
    <col min="3389" max="3389" width="4.125" style="279" customWidth="1"/>
    <col min="3390" max="3390" width="5.875" style="279" customWidth="1"/>
    <col min="3391" max="3391" width="10.125" style="279" customWidth="1"/>
    <col min="3392" max="3392" width="9.375" style="279" customWidth="1"/>
    <col min="3393" max="3393" width="4" style="279" customWidth="1"/>
    <col min="3394" max="3394" width="5.875" style="279" customWidth="1"/>
    <col min="3395" max="3395" width="9.375" style="279" customWidth="1"/>
    <col min="3396" max="3396" width="11.25" style="279" customWidth="1"/>
    <col min="3397" max="3616" width="9" style="279"/>
    <col min="3617" max="3617" width="6" style="279" customWidth="1"/>
    <col min="3618" max="3619" width="9.375" style="279" customWidth="1"/>
    <col min="3620" max="3620" width="3.625" style="279" customWidth="1"/>
    <col min="3621" max="3621" width="5.875" style="279" customWidth="1"/>
    <col min="3622" max="3622" width="10.125" style="279" customWidth="1"/>
    <col min="3623" max="3623" width="9.375" style="279" customWidth="1"/>
    <col min="3624" max="3624" width="3.625" style="279" customWidth="1"/>
    <col min="3625" max="3625" width="5.875" style="279" customWidth="1"/>
    <col min="3626" max="3627" width="9.375" style="279" customWidth="1"/>
    <col min="3628" max="3640" width="0" style="279" hidden="1" customWidth="1"/>
    <col min="3641" max="3641" width="1.75" style="279" customWidth="1"/>
    <col min="3642" max="3642" width="6.375" style="279" customWidth="1"/>
    <col min="3643" max="3644" width="9.375" style="279" customWidth="1"/>
    <col min="3645" max="3645" width="4.125" style="279" customWidth="1"/>
    <col min="3646" max="3646" width="5.875" style="279" customWidth="1"/>
    <col min="3647" max="3647" width="10.125" style="279" customWidth="1"/>
    <col min="3648" max="3648" width="9.375" style="279" customWidth="1"/>
    <col min="3649" max="3649" width="4" style="279" customWidth="1"/>
    <col min="3650" max="3650" width="5.875" style="279" customWidth="1"/>
    <col min="3651" max="3651" width="9.375" style="279" customWidth="1"/>
    <col min="3652" max="3652" width="11.25" style="279" customWidth="1"/>
    <col min="3653" max="3872" width="9" style="279"/>
    <col min="3873" max="3873" width="6" style="279" customWidth="1"/>
    <col min="3874" max="3875" width="9.375" style="279" customWidth="1"/>
    <col min="3876" max="3876" width="3.625" style="279" customWidth="1"/>
    <col min="3877" max="3877" width="5.875" style="279" customWidth="1"/>
    <col min="3878" max="3878" width="10.125" style="279" customWidth="1"/>
    <col min="3879" max="3879" width="9.375" style="279" customWidth="1"/>
    <col min="3880" max="3880" width="3.625" style="279" customWidth="1"/>
    <col min="3881" max="3881" width="5.875" style="279" customWidth="1"/>
    <col min="3882" max="3883" width="9.375" style="279" customWidth="1"/>
    <col min="3884" max="3896" width="0" style="279" hidden="1" customWidth="1"/>
    <col min="3897" max="3897" width="1.75" style="279" customWidth="1"/>
    <col min="3898" max="3898" width="6.375" style="279" customWidth="1"/>
    <col min="3899" max="3900" width="9.375" style="279" customWidth="1"/>
    <col min="3901" max="3901" width="4.125" style="279" customWidth="1"/>
    <col min="3902" max="3902" width="5.875" style="279" customWidth="1"/>
    <col min="3903" max="3903" width="10.125" style="279" customWidth="1"/>
    <col min="3904" max="3904" width="9.375" style="279" customWidth="1"/>
    <col min="3905" max="3905" width="4" style="279" customWidth="1"/>
    <col min="3906" max="3906" width="5.875" style="279" customWidth="1"/>
    <col min="3907" max="3907" width="9.375" style="279" customWidth="1"/>
    <col min="3908" max="3908" width="11.25" style="279" customWidth="1"/>
    <col min="3909" max="4128" width="9" style="279"/>
    <col min="4129" max="4129" width="6" style="279" customWidth="1"/>
    <col min="4130" max="4131" width="9.375" style="279" customWidth="1"/>
    <col min="4132" max="4132" width="3.625" style="279" customWidth="1"/>
    <col min="4133" max="4133" width="5.875" style="279" customWidth="1"/>
    <col min="4134" max="4134" width="10.125" style="279" customWidth="1"/>
    <col min="4135" max="4135" width="9.375" style="279" customWidth="1"/>
    <col min="4136" max="4136" width="3.625" style="279" customWidth="1"/>
    <col min="4137" max="4137" width="5.875" style="279" customWidth="1"/>
    <col min="4138" max="4139" width="9.375" style="279" customWidth="1"/>
    <col min="4140" max="4152" width="0" style="279" hidden="1" customWidth="1"/>
    <col min="4153" max="4153" width="1.75" style="279" customWidth="1"/>
    <col min="4154" max="4154" width="6.375" style="279" customWidth="1"/>
    <col min="4155" max="4156" width="9.375" style="279" customWidth="1"/>
    <col min="4157" max="4157" width="4.125" style="279" customWidth="1"/>
    <col min="4158" max="4158" width="5.875" style="279" customWidth="1"/>
    <col min="4159" max="4159" width="10.125" style="279" customWidth="1"/>
    <col min="4160" max="4160" width="9.375" style="279" customWidth="1"/>
    <col min="4161" max="4161" width="4" style="279" customWidth="1"/>
    <col min="4162" max="4162" width="5.875" style="279" customWidth="1"/>
    <col min="4163" max="4163" width="9.375" style="279" customWidth="1"/>
    <col min="4164" max="4164" width="11.25" style="279" customWidth="1"/>
    <col min="4165" max="4384" width="9" style="279"/>
    <col min="4385" max="4385" width="6" style="279" customWidth="1"/>
    <col min="4386" max="4387" width="9.375" style="279" customWidth="1"/>
    <col min="4388" max="4388" width="3.625" style="279" customWidth="1"/>
    <col min="4389" max="4389" width="5.875" style="279" customWidth="1"/>
    <col min="4390" max="4390" width="10.125" style="279" customWidth="1"/>
    <col min="4391" max="4391" width="9.375" style="279" customWidth="1"/>
    <col min="4392" max="4392" width="3.625" style="279" customWidth="1"/>
    <col min="4393" max="4393" width="5.875" style="279" customWidth="1"/>
    <col min="4394" max="4395" width="9.375" style="279" customWidth="1"/>
    <col min="4396" max="4408" width="0" style="279" hidden="1" customWidth="1"/>
    <col min="4409" max="4409" width="1.75" style="279" customWidth="1"/>
    <col min="4410" max="4410" width="6.375" style="279" customWidth="1"/>
    <col min="4411" max="4412" width="9.375" style="279" customWidth="1"/>
    <col min="4413" max="4413" width="4.125" style="279" customWidth="1"/>
    <col min="4414" max="4414" width="5.875" style="279" customWidth="1"/>
    <col min="4415" max="4415" width="10.125" style="279" customWidth="1"/>
    <col min="4416" max="4416" width="9.375" style="279" customWidth="1"/>
    <col min="4417" max="4417" width="4" style="279" customWidth="1"/>
    <col min="4418" max="4418" width="5.875" style="279" customWidth="1"/>
    <col min="4419" max="4419" width="9.375" style="279" customWidth="1"/>
    <col min="4420" max="4420" width="11.25" style="279" customWidth="1"/>
    <col min="4421" max="4640" width="9" style="279"/>
    <col min="4641" max="4641" width="6" style="279" customWidth="1"/>
    <col min="4642" max="4643" width="9.375" style="279" customWidth="1"/>
    <col min="4644" max="4644" width="3.625" style="279" customWidth="1"/>
    <col min="4645" max="4645" width="5.875" style="279" customWidth="1"/>
    <col min="4646" max="4646" width="10.125" style="279" customWidth="1"/>
    <col min="4647" max="4647" width="9.375" style="279" customWidth="1"/>
    <col min="4648" max="4648" width="3.625" style="279" customWidth="1"/>
    <col min="4649" max="4649" width="5.875" style="279" customWidth="1"/>
    <col min="4650" max="4651" width="9.375" style="279" customWidth="1"/>
    <col min="4652" max="4664" width="0" style="279" hidden="1" customWidth="1"/>
    <col min="4665" max="4665" width="1.75" style="279" customWidth="1"/>
    <col min="4666" max="4666" width="6.375" style="279" customWidth="1"/>
    <col min="4667" max="4668" width="9.375" style="279" customWidth="1"/>
    <col min="4669" max="4669" width="4.125" style="279" customWidth="1"/>
    <col min="4670" max="4670" width="5.875" style="279" customWidth="1"/>
    <col min="4671" max="4671" width="10.125" style="279" customWidth="1"/>
    <col min="4672" max="4672" width="9.375" style="279" customWidth="1"/>
    <col min="4673" max="4673" width="4" style="279" customWidth="1"/>
    <col min="4674" max="4674" width="5.875" style="279" customWidth="1"/>
    <col min="4675" max="4675" width="9.375" style="279" customWidth="1"/>
    <col min="4676" max="4676" width="11.25" style="279" customWidth="1"/>
    <col min="4677" max="4896" width="9" style="279"/>
    <col min="4897" max="4897" width="6" style="279" customWidth="1"/>
    <col min="4898" max="4899" width="9.375" style="279" customWidth="1"/>
    <col min="4900" max="4900" width="3.625" style="279" customWidth="1"/>
    <col min="4901" max="4901" width="5.875" style="279" customWidth="1"/>
    <col min="4902" max="4902" width="10.125" style="279" customWidth="1"/>
    <col min="4903" max="4903" width="9.375" style="279" customWidth="1"/>
    <col min="4904" max="4904" width="3.625" style="279" customWidth="1"/>
    <col min="4905" max="4905" width="5.875" style="279" customWidth="1"/>
    <col min="4906" max="4907" width="9.375" style="279" customWidth="1"/>
    <col min="4908" max="4920" width="0" style="279" hidden="1" customWidth="1"/>
    <col min="4921" max="4921" width="1.75" style="279" customWidth="1"/>
    <col min="4922" max="4922" width="6.375" style="279" customWidth="1"/>
    <col min="4923" max="4924" width="9.375" style="279" customWidth="1"/>
    <col min="4925" max="4925" width="4.125" style="279" customWidth="1"/>
    <col min="4926" max="4926" width="5.875" style="279" customWidth="1"/>
    <col min="4927" max="4927" width="10.125" style="279" customWidth="1"/>
    <col min="4928" max="4928" width="9.375" style="279" customWidth="1"/>
    <col min="4929" max="4929" width="4" style="279" customWidth="1"/>
    <col min="4930" max="4930" width="5.875" style="279" customWidth="1"/>
    <col min="4931" max="4931" width="9.375" style="279" customWidth="1"/>
    <col min="4932" max="4932" width="11.25" style="279" customWidth="1"/>
    <col min="4933" max="5152" width="9" style="279"/>
    <col min="5153" max="5153" width="6" style="279" customWidth="1"/>
    <col min="5154" max="5155" width="9.375" style="279" customWidth="1"/>
    <col min="5156" max="5156" width="3.625" style="279" customWidth="1"/>
    <col min="5157" max="5157" width="5.875" style="279" customWidth="1"/>
    <col min="5158" max="5158" width="10.125" style="279" customWidth="1"/>
    <col min="5159" max="5159" width="9.375" style="279" customWidth="1"/>
    <col min="5160" max="5160" width="3.625" style="279" customWidth="1"/>
    <col min="5161" max="5161" width="5.875" style="279" customWidth="1"/>
    <col min="5162" max="5163" width="9.375" style="279" customWidth="1"/>
    <col min="5164" max="5176" width="0" style="279" hidden="1" customWidth="1"/>
    <col min="5177" max="5177" width="1.75" style="279" customWidth="1"/>
    <col min="5178" max="5178" width="6.375" style="279" customWidth="1"/>
    <col min="5179" max="5180" width="9.375" style="279" customWidth="1"/>
    <col min="5181" max="5181" width="4.125" style="279" customWidth="1"/>
    <col min="5182" max="5182" width="5.875" style="279" customWidth="1"/>
    <col min="5183" max="5183" width="10.125" style="279" customWidth="1"/>
    <col min="5184" max="5184" width="9.375" style="279" customWidth="1"/>
    <col min="5185" max="5185" width="4" style="279" customWidth="1"/>
    <col min="5186" max="5186" width="5.875" style="279" customWidth="1"/>
    <col min="5187" max="5187" width="9.375" style="279" customWidth="1"/>
    <col min="5188" max="5188" width="11.25" style="279" customWidth="1"/>
    <col min="5189" max="5408" width="9" style="279"/>
    <col min="5409" max="5409" width="6" style="279" customWidth="1"/>
    <col min="5410" max="5411" width="9.375" style="279" customWidth="1"/>
    <col min="5412" max="5412" width="3.625" style="279" customWidth="1"/>
    <col min="5413" max="5413" width="5.875" style="279" customWidth="1"/>
    <col min="5414" max="5414" width="10.125" style="279" customWidth="1"/>
    <col min="5415" max="5415" width="9.375" style="279" customWidth="1"/>
    <col min="5416" max="5416" width="3.625" style="279" customWidth="1"/>
    <col min="5417" max="5417" width="5.875" style="279" customWidth="1"/>
    <col min="5418" max="5419" width="9.375" style="279" customWidth="1"/>
    <col min="5420" max="5432" width="0" style="279" hidden="1" customWidth="1"/>
    <col min="5433" max="5433" width="1.75" style="279" customWidth="1"/>
    <col min="5434" max="5434" width="6.375" style="279" customWidth="1"/>
    <col min="5435" max="5436" width="9.375" style="279" customWidth="1"/>
    <col min="5437" max="5437" width="4.125" style="279" customWidth="1"/>
    <col min="5438" max="5438" width="5.875" style="279" customWidth="1"/>
    <col min="5439" max="5439" width="10.125" style="279" customWidth="1"/>
    <col min="5440" max="5440" width="9.375" style="279" customWidth="1"/>
    <col min="5441" max="5441" width="4" style="279" customWidth="1"/>
    <col min="5442" max="5442" width="5.875" style="279" customWidth="1"/>
    <col min="5443" max="5443" width="9.375" style="279" customWidth="1"/>
    <col min="5444" max="5444" width="11.25" style="279" customWidth="1"/>
    <col min="5445" max="5664" width="9" style="279"/>
    <col min="5665" max="5665" width="6" style="279" customWidth="1"/>
    <col min="5666" max="5667" width="9.375" style="279" customWidth="1"/>
    <col min="5668" max="5668" width="3.625" style="279" customWidth="1"/>
    <col min="5669" max="5669" width="5.875" style="279" customWidth="1"/>
    <col min="5670" max="5670" width="10.125" style="279" customWidth="1"/>
    <col min="5671" max="5671" width="9.375" style="279" customWidth="1"/>
    <col min="5672" max="5672" width="3.625" style="279" customWidth="1"/>
    <col min="5673" max="5673" width="5.875" style="279" customWidth="1"/>
    <col min="5674" max="5675" width="9.375" style="279" customWidth="1"/>
    <col min="5676" max="5688" width="0" style="279" hidden="1" customWidth="1"/>
    <col min="5689" max="5689" width="1.75" style="279" customWidth="1"/>
    <col min="5690" max="5690" width="6.375" style="279" customWidth="1"/>
    <col min="5691" max="5692" width="9.375" style="279" customWidth="1"/>
    <col min="5693" max="5693" width="4.125" style="279" customWidth="1"/>
    <col min="5694" max="5694" width="5.875" style="279" customWidth="1"/>
    <col min="5695" max="5695" width="10.125" style="279" customWidth="1"/>
    <col min="5696" max="5696" width="9.375" style="279" customWidth="1"/>
    <col min="5697" max="5697" width="4" style="279" customWidth="1"/>
    <col min="5698" max="5698" width="5.875" style="279" customWidth="1"/>
    <col min="5699" max="5699" width="9.375" style="279" customWidth="1"/>
    <col min="5700" max="5700" width="11.25" style="279" customWidth="1"/>
    <col min="5701" max="5920" width="9" style="279"/>
    <col min="5921" max="5921" width="6" style="279" customWidth="1"/>
    <col min="5922" max="5923" width="9.375" style="279" customWidth="1"/>
    <col min="5924" max="5924" width="3.625" style="279" customWidth="1"/>
    <col min="5925" max="5925" width="5.875" style="279" customWidth="1"/>
    <col min="5926" max="5926" width="10.125" style="279" customWidth="1"/>
    <col min="5927" max="5927" width="9.375" style="279" customWidth="1"/>
    <col min="5928" max="5928" width="3.625" style="279" customWidth="1"/>
    <col min="5929" max="5929" width="5.875" style="279" customWidth="1"/>
    <col min="5930" max="5931" width="9.375" style="279" customWidth="1"/>
    <col min="5932" max="5944" width="0" style="279" hidden="1" customWidth="1"/>
    <col min="5945" max="5945" width="1.75" style="279" customWidth="1"/>
    <col min="5946" max="5946" width="6.375" style="279" customWidth="1"/>
    <col min="5947" max="5948" width="9.375" style="279" customWidth="1"/>
    <col min="5949" max="5949" width="4.125" style="279" customWidth="1"/>
    <col min="5950" max="5950" width="5.875" style="279" customWidth="1"/>
    <col min="5951" max="5951" width="10.125" style="279" customWidth="1"/>
    <col min="5952" max="5952" width="9.375" style="279" customWidth="1"/>
    <col min="5953" max="5953" width="4" style="279" customWidth="1"/>
    <col min="5954" max="5954" width="5.875" style="279" customWidth="1"/>
    <col min="5955" max="5955" width="9.375" style="279" customWidth="1"/>
    <col min="5956" max="5956" width="11.25" style="279" customWidth="1"/>
    <col min="5957" max="6176" width="9" style="279"/>
    <col min="6177" max="6177" width="6" style="279" customWidth="1"/>
    <col min="6178" max="6179" width="9.375" style="279" customWidth="1"/>
    <col min="6180" max="6180" width="3.625" style="279" customWidth="1"/>
    <col min="6181" max="6181" width="5.875" style="279" customWidth="1"/>
    <col min="6182" max="6182" width="10.125" style="279" customWidth="1"/>
    <col min="6183" max="6183" width="9.375" style="279" customWidth="1"/>
    <col min="6184" max="6184" width="3.625" style="279" customWidth="1"/>
    <col min="6185" max="6185" width="5.875" style="279" customWidth="1"/>
    <col min="6186" max="6187" width="9.375" style="279" customWidth="1"/>
    <col min="6188" max="6200" width="0" style="279" hidden="1" customWidth="1"/>
    <col min="6201" max="6201" width="1.75" style="279" customWidth="1"/>
    <col min="6202" max="6202" width="6.375" style="279" customWidth="1"/>
    <col min="6203" max="6204" width="9.375" style="279" customWidth="1"/>
    <col min="6205" max="6205" width="4.125" style="279" customWidth="1"/>
    <col min="6206" max="6206" width="5.875" style="279" customWidth="1"/>
    <col min="6207" max="6207" width="10.125" style="279" customWidth="1"/>
    <col min="6208" max="6208" width="9.375" style="279" customWidth="1"/>
    <col min="6209" max="6209" width="4" style="279" customWidth="1"/>
    <col min="6210" max="6210" width="5.875" style="279" customWidth="1"/>
    <col min="6211" max="6211" width="9.375" style="279" customWidth="1"/>
    <col min="6212" max="6212" width="11.25" style="279" customWidth="1"/>
    <col min="6213" max="6432" width="9" style="279"/>
    <col min="6433" max="6433" width="6" style="279" customWidth="1"/>
    <col min="6434" max="6435" width="9.375" style="279" customWidth="1"/>
    <col min="6436" max="6436" width="3.625" style="279" customWidth="1"/>
    <col min="6437" max="6437" width="5.875" style="279" customWidth="1"/>
    <col min="6438" max="6438" width="10.125" style="279" customWidth="1"/>
    <col min="6439" max="6439" width="9.375" style="279" customWidth="1"/>
    <col min="6440" max="6440" width="3.625" style="279" customWidth="1"/>
    <col min="6441" max="6441" width="5.875" style="279" customWidth="1"/>
    <col min="6442" max="6443" width="9.375" style="279" customWidth="1"/>
    <col min="6444" max="6456" width="0" style="279" hidden="1" customWidth="1"/>
    <col min="6457" max="6457" width="1.75" style="279" customWidth="1"/>
    <col min="6458" max="6458" width="6.375" style="279" customWidth="1"/>
    <col min="6459" max="6460" width="9.375" style="279" customWidth="1"/>
    <col min="6461" max="6461" width="4.125" style="279" customWidth="1"/>
    <col min="6462" max="6462" width="5.875" style="279" customWidth="1"/>
    <col min="6463" max="6463" width="10.125" style="279" customWidth="1"/>
    <col min="6464" max="6464" width="9.375" style="279" customWidth="1"/>
    <col min="6465" max="6465" width="4" style="279" customWidth="1"/>
    <col min="6466" max="6466" width="5.875" style="279" customWidth="1"/>
    <col min="6467" max="6467" width="9.375" style="279" customWidth="1"/>
    <col min="6468" max="6468" width="11.25" style="279" customWidth="1"/>
    <col min="6469" max="6688" width="9" style="279"/>
    <col min="6689" max="6689" width="6" style="279" customWidth="1"/>
    <col min="6690" max="6691" width="9.375" style="279" customWidth="1"/>
    <col min="6692" max="6692" width="3.625" style="279" customWidth="1"/>
    <col min="6693" max="6693" width="5.875" style="279" customWidth="1"/>
    <col min="6694" max="6694" width="10.125" style="279" customWidth="1"/>
    <col min="6695" max="6695" width="9.375" style="279" customWidth="1"/>
    <col min="6696" max="6696" width="3.625" style="279" customWidth="1"/>
    <col min="6697" max="6697" width="5.875" style="279" customWidth="1"/>
    <col min="6698" max="6699" width="9.375" style="279" customWidth="1"/>
    <col min="6700" max="6712" width="0" style="279" hidden="1" customWidth="1"/>
    <col min="6713" max="6713" width="1.75" style="279" customWidth="1"/>
    <col min="6714" max="6714" width="6.375" style="279" customWidth="1"/>
    <col min="6715" max="6716" width="9.375" style="279" customWidth="1"/>
    <col min="6717" max="6717" width="4.125" style="279" customWidth="1"/>
    <col min="6718" max="6718" width="5.875" style="279" customWidth="1"/>
    <col min="6719" max="6719" width="10.125" style="279" customWidth="1"/>
    <col min="6720" max="6720" width="9.375" style="279" customWidth="1"/>
    <col min="6721" max="6721" width="4" style="279" customWidth="1"/>
    <col min="6722" max="6722" width="5.875" style="279" customWidth="1"/>
    <col min="6723" max="6723" width="9.375" style="279" customWidth="1"/>
    <col min="6724" max="6724" width="11.25" style="279" customWidth="1"/>
    <col min="6725" max="6944" width="9" style="279"/>
    <col min="6945" max="6945" width="6" style="279" customWidth="1"/>
    <col min="6946" max="6947" width="9.375" style="279" customWidth="1"/>
    <col min="6948" max="6948" width="3.625" style="279" customWidth="1"/>
    <col min="6949" max="6949" width="5.875" style="279" customWidth="1"/>
    <col min="6950" max="6950" width="10.125" style="279" customWidth="1"/>
    <col min="6951" max="6951" width="9.375" style="279" customWidth="1"/>
    <col min="6952" max="6952" width="3.625" style="279" customWidth="1"/>
    <col min="6953" max="6953" width="5.875" style="279" customWidth="1"/>
    <col min="6954" max="6955" width="9.375" style="279" customWidth="1"/>
    <col min="6956" max="6968" width="0" style="279" hidden="1" customWidth="1"/>
    <col min="6969" max="6969" width="1.75" style="279" customWidth="1"/>
    <col min="6970" max="6970" width="6.375" style="279" customWidth="1"/>
    <col min="6971" max="6972" width="9.375" style="279" customWidth="1"/>
    <col min="6973" max="6973" width="4.125" style="279" customWidth="1"/>
    <col min="6974" max="6974" width="5.875" style="279" customWidth="1"/>
    <col min="6975" max="6975" width="10.125" style="279" customWidth="1"/>
    <col min="6976" max="6976" width="9.375" style="279" customWidth="1"/>
    <col min="6977" max="6977" width="4" style="279" customWidth="1"/>
    <col min="6978" max="6978" width="5.875" style="279" customWidth="1"/>
    <col min="6979" max="6979" width="9.375" style="279" customWidth="1"/>
    <col min="6980" max="6980" width="11.25" style="279" customWidth="1"/>
    <col min="6981" max="7200" width="9" style="279"/>
    <col min="7201" max="7201" width="6" style="279" customWidth="1"/>
    <col min="7202" max="7203" width="9.375" style="279" customWidth="1"/>
    <col min="7204" max="7204" width="3.625" style="279" customWidth="1"/>
    <col min="7205" max="7205" width="5.875" style="279" customWidth="1"/>
    <col min="7206" max="7206" width="10.125" style="279" customWidth="1"/>
    <col min="7207" max="7207" width="9.375" style="279" customWidth="1"/>
    <col min="7208" max="7208" width="3.625" style="279" customWidth="1"/>
    <col min="7209" max="7209" width="5.875" style="279" customWidth="1"/>
    <col min="7210" max="7211" width="9.375" style="279" customWidth="1"/>
    <col min="7212" max="7224" width="0" style="279" hidden="1" customWidth="1"/>
    <col min="7225" max="7225" width="1.75" style="279" customWidth="1"/>
    <col min="7226" max="7226" width="6.375" style="279" customWidth="1"/>
    <col min="7227" max="7228" width="9.375" style="279" customWidth="1"/>
    <col min="7229" max="7229" width="4.125" style="279" customWidth="1"/>
    <col min="7230" max="7230" width="5.875" style="279" customWidth="1"/>
    <col min="7231" max="7231" width="10.125" style="279" customWidth="1"/>
    <col min="7232" max="7232" width="9.375" style="279" customWidth="1"/>
    <col min="7233" max="7233" width="4" style="279" customWidth="1"/>
    <col min="7234" max="7234" width="5.875" style="279" customWidth="1"/>
    <col min="7235" max="7235" width="9.375" style="279" customWidth="1"/>
    <col min="7236" max="7236" width="11.25" style="279" customWidth="1"/>
    <col min="7237" max="7456" width="9" style="279"/>
    <col min="7457" max="7457" width="6" style="279" customWidth="1"/>
    <col min="7458" max="7459" width="9.375" style="279" customWidth="1"/>
    <col min="7460" max="7460" width="3.625" style="279" customWidth="1"/>
    <col min="7461" max="7461" width="5.875" style="279" customWidth="1"/>
    <col min="7462" max="7462" width="10.125" style="279" customWidth="1"/>
    <col min="7463" max="7463" width="9.375" style="279" customWidth="1"/>
    <col min="7464" max="7464" width="3.625" style="279" customWidth="1"/>
    <col min="7465" max="7465" width="5.875" style="279" customWidth="1"/>
    <col min="7466" max="7467" width="9.375" style="279" customWidth="1"/>
    <col min="7468" max="7480" width="0" style="279" hidden="1" customWidth="1"/>
    <col min="7481" max="7481" width="1.75" style="279" customWidth="1"/>
    <col min="7482" max="7482" width="6.375" style="279" customWidth="1"/>
    <col min="7483" max="7484" width="9.375" style="279" customWidth="1"/>
    <col min="7485" max="7485" width="4.125" style="279" customWidth="1"/>
    <col min="7486" max="7486" width="5.875" style="279" customWidth="1"/>
    <col min="7487" max="7487" width="10.125" style="279" customWidth="1"/>
    <col min="7488" max="7488" width="9.375" style="279" customWidth="1"/>
    <col min="7489" max="7489" width="4" style="279" customWidth="1"/>
    <col min="7490" max="7490" width="5.875" style="279" customWidth="1"/>
    <col min="7491" max="7491" width="9.375" style="279" customWidth="1"/>
    <col min="7492" max="7492" width="11.25" style="279" customWidth="1"/>
    <col min="7493" max="7712" width="9" style="279"/>
    <col min="7713" max="7713" width="6" style="279" customWidth="1"/>
    <col min="7714" max="7715" width="9.375" style="279" customWidth="1"/>
    <col min="7716" max="7716" width="3.625" style="279" customWidth="1"/>
    <col min="7717" max="7717" width="5.875" style="279" customWidth="1"/>
    <col min="7718" max="7718" width="10.125" style="279" customWidth="1"/>
    <col min="7719" max="7719" width="9.375" style="279" customWidth="1"/>
    <col min="7720" max="7720" width="3.625" style="279" customWidth="1"/>
    <col min="7721" max="7721" width="5.875" style="279" customWidth="1"/>
    <col min="7722" max="7723" width="9.375" style="279" customWidth="1"/>
    <col min="7724" max="7736" width="0" style="279" hidden="1" customWidth="1"/>
    <col min="7737" max="7737" width="1.75" style="279" customWidth="1"/>
    <col min="7738" max="7738" width="6.375" style="279" customWidth="1"/>
    <col min="7739" max="7740" width="9.375" style="279" customWidth="1"/>
    <col min="7741" max="7741" width="4.125" style="279" customWidth="1"/>
    <col min="7742" max="7742" width="5.875" style="279" customWidth="1"/>
    <col min="7743" max="7743" width="10.125" style="279" customWidth="1"/>
    <col min="7744" max="7744" width="9.375" style="279" customWidth="1"/>
    <col min="7745" max="7745" width="4" style="279" customWidth="1"/>
    <col min="7746" max="7746" width="5.875" style="279" customWidth="1"/>
    <col min="7747" max="7747" width="9.375" style="279" customWidth="1"/>
    <col min="7748" max="7748" width="11.25" style="279" customWidth="1"/>
    <col min="7749" max="7968" width="9" style="279"/>
    <col min="7969" max="7969" width="6" style="279" customWidth="1"/>
    <col min="7970" max="7971" width="9.375" style="279" customWidth="1"/>
    <col min="7972" max="7972" width="3.625" style="279" customWidth="1"/>
    <col min="7973" max="7973" width="5.875" style="279" customWidth="1"/>
    <col min="7974" max="7974" width="10.125" style="279" customWidth="1"/>
    <col min="7975" max="7975" width="9.375" style="279" customWidth="1"/>
    <col min="7976" max="7976" width="3.625" style="279" customWidth="1"/>
    <col min="7977" max="7977" width="5.875" style="279" customWidth="1"/>
    <col min="7978" max="7979" width="9.375" style="279" customWidth="1"/>
    <col min="7980" max="7992" width="0" style="279" hidden="1" customWidth="1"/>
    <col min="7993" max="7993" width="1.75" style="279" customWidth="1"/>
    <col min="7994" max="7994" width="6.375" style="279" customWidth="1"/>
    <col min="7995" max="7996" width="9.375" style="279" customWidth="1"/>
    <col min="7997" max="7997" width="4.125" style="279" customWidth="1"/>
    <col min="7998" max="7998" width="5.875" style="279" customWidth="1"/>
    <col min="7999" max="7999" width="10.125" style="279" customWidth="1"/>
    <col min="8000" max="8000" width="9.375" style="279" customWidth="1"/>
    <col min="8001" max="8001" width="4" style="279" customWidth="1"/>
    <col min="8002" max="8002" width="5.875" style="279" customWidth="1"/>
    <col min="8003" max="8003" width="9.375" style="279" customWidth="1"/>
    <col min="8004" max="8004" width="11.25" style="279" customWidth="1"/>
    <col min="8005" max="8224" width="9" style="279"/>
    <col min="8225" max="8225" width="6" style="279" customWidth="1"/>
    <col min="8226" max="8227" width="9.375" style="279" customWidth="1"/>
    <col min="8228" max="8228" width="3.625" style="279" customWidth="1"/>
    <col min="8229" max="8229" width="5.875" style="279" customWidth="1"/>
    <col min="8230" max="8230" width="10.125" style="279" customWidth="1"/>
    <col min="8231" max="8231" width="9.375" style="279" customWidth="1"/>
    <col min="8232" max="8232" width="3.625" style="279" customWidth="1"/>
    <col min="8233" max="8233" width="5.875" style="279" customWidth="1"/>
    <col min="8234" max="8235" width="9.375" style="279" customWidth="1"/>
    <col min="8236" max="8248" width="0" style="279" hidden="1" customWidth="1"/>
    <col min="8249" max="8249" width="1.75" style="279" customWidth="1"/>
    <col min="8250" max="8250" width="6.375" style="279" customWidth="1"/>
    <col min="8251" max="8252" width="9.375" style="279" customWidth="1"/>
    <col min="8253" max="8253" width="4.125" style="279" customWidth="1"/>
    <col min="8254" max="8254" width="5.875" style="279" customWidth="1"/>
    <col min="8255" max="8255" width="10.125" style="279" customWidth="1"/>
    <col min="8256" max="8256" width="9.375" style="279" customWidth="1"/>
    <col min="8257" max="8257" width="4" style="279" customWidth="1"/>
    <col min="8258" max="8258" width="5.875" style="279" customWidth="1"/>
    <col min="8259" max="8259" width="9.375" style="279" customWidth="1"/>
    <col min="8260" max="8260" width="11.25" style="279" customWidth="1"/>
    <col min="8261" max="8480" width="9" style="279"/>
    <col min="8481" max="8481" width="6" style="279" customWidth="1"/>
    <col min="8482" max="8483" width="9.375" style="279" customWidth="1"/>
    <col min="8484" max="8484" width="3.625" style="279" customWidth="1"/>
    <col min="8485" max="8485" width="5.875" style="279" customWidth="1"/>
    <col min="8486" max="8486" width="10.125" style="279" customWidth="1"/>
    <col min="8487" max="8487" width="9.375" style="279" customWidth="1"/>
    <col min="8488" max="8488" width="3.625" style="279" customWidth="1"/>
    <col min="8489" max="8489" width="5.875" style="279" customWidth="1"/>
    <col min="8490" max="8491" width="9.375" style="279" customWidth="1"/>
    <col min="8492" max="8504" width="0" style="279" hidden="1" customWidth="1"/>
    <col min="8505" max="8505" width="1.75" style="279" customWidth="1"/>
    <col min="8506" max="8506" width="6.375" style="279" customWidth="1"/>
    <col min="8507" max="8508" width="9.375" style="279" customWidth="1"/>
    <col min="8509" max="8509" width="4.125" style="279" customWidth="1"/>
    <col min="8510" max="8510" width="5.875" style="279" customWidth="1"/>
    <col min="8511" max="8511" width="10.125" style="279" customWidth="1"/>
    <col min="8512" max="8512" width="9.375" style="279" customWidth="1"/>
    <col min="8513" max="8513" width="4" style="279" customWidth="1"/>
    <col min="8514" max="8514" width="5.875" style="279" customWidth="1"/>
    <col min="8515" max="8515" width="9.375" style="279" customWidth="1"/>
    <col min="8516" max="8516" width="11.25" style="279" customWidth="1"/>
    <col min="8517" max="8736" width="9" style="279"/>
    <col min="8737" max="8737" width="6" style="279" customWidth="1"/>
    <col min="8738" max="8739" width="9.375" style="279" customWidth="1"/>
    <col min="8740" max="8740" width="3.625" style="279" customWidth="1"/>
    <col min="8741" max="8741" width="5.875" style="279" customWidth="1"/>
    <col min="8742" max="8742" width="10.125" style="279" customWidth="1"/>
    <col min="8743" max="8743" width="9.375" style="279" customWidth="1"/>
    <col min="8744" max="8744" width="3.625" style="279" customWidth="1"/>
    <col min="8745" max="8745" width="5.875" style="279" customWidth="1"/>
    <col min="8746" max="8747" width="9.375" style="279" customWidth="1"/>
    <col min="8748" max="8760" width="0" style="279" hidden="1" customWidth="1"/>
    <col min="8761" max="8761" width="1.75" style="279" customWidth="1"/>
    <col min="8762" max="8762" width="6.375" style="279" customWidth="1"/>
    <col min="8763" max="8764" width="9.375" style="279" customWidth="1"/>
    <col min="8765" max="8765" width="4.125" style="279" customWidth="1"/>
    <col min="8766" max="8766" width="5.875" style="279" customWidth="1"/>
    <col min="8767" max="8767" width="10.125" style="279" customWidth="1"/>
    <col min="8768" max="8768" width="9.375" style="279" customWidth="1"/>
    <col min="8769" max="8769" width="4" style="279" customWidth="1"/>
    <col min="8770" max="8770" width="5.875" style="279" customWidth="1"/>
    <col min="8771" max="8771" width="9.375" style="279" customWidth="1"/>
    <col min="8772" max="8772" width="11.25" style="279" customWidth="1"/>
    <col min="8773" max="8992" width="9" style="279"/>
    <col min="8993" max="8993" width="6" style="279" customWidth="1"/>
    <col min="8994" max="8995" width="9.375" style="279" customWidth="1"/>
    <col min="8996" max="8996" width="3.625" style="279" customWidth="1"/>
    <col min="8997" max="8997" width="5.875" style="279" customWidth="1"/>
    <col min="8998" max="8998" width="10.125" style="279" customWidth="1"/>
    <col min="8999" max="8999" width="9.375" style="279" customWidth="1"/>
    <col min="9000" max="9000" width="3.625" style="279" customWidth="1"/>
    <col min="9001" max="9001" width="5.875" style="279" customWidth="1"/>
    <col min="9002" max="9003" width="9.375" style="279" customWidth="1"/>
    <col min="9004" max="9016" width="0" style="279" hidden="1" customWidth="1"/>
    <col min="9017" max="9017" width="1.75" style="279" customWidth="1"/>
    <col min="9018" max="9018" width="6.375" style="279" customWidth="1"/>
    <col min="9019" max="9020" width="9.375" style="279" customWidth="1"/>
    <col min="9021" max="9021" width="4.125" style="279" customWidth="1"/>
    <col min="9022" max="9022" width="5.875" style="279" customWidth="1"/>
    <col min="9023" max="9023" width="10.125" style="279" customWidth="1"/>
    <col min="9024" max="9024" width="9.375" style="279" customWidth="1"/>
    <col min="9025" max="9025" width="4" style="279" customWidth="1"/>
    <col min="9026" max="9026" width="5.875" style="279" customWidth="1"/>
    <col min="9027" max="9027" width="9.375" style="279" customWidth="1"/>
    <col min="9028" max="9028" width="11.25" style="279" customWidth="1"/>
    <col min="9029" max="9248" width="9" style="279"/>
    <col min="9249" max="9249" width="6" style="279" customWidth="1"/>
    <col min="9250" max="9251" width="9.375" style="279" customWidth="1"/>
    <col min="9252" max="9252" width="3.625" style="279" customWidth="1"/>
    <col min="9253" max="9253" width="5.875" style="279" customWidth="1"/>
    <col min="9254" max="9254" width="10.125" style="279" customWidth="1"/>
    <col min="9255" max="9255" width="9.375" style="279" customWidth="1"/>
    <col min="9256" max="9256" width="3.625" style="279" customWidth="1"/>
    <col min="9257" max="9257" width="5.875" style="279" customWidth="1"/>
    <col min="9258" max="9259" width="9.375" style="279" customWidth="1"/>
    <col min="9260" max="9272" width="0" style="279" hidden="1" customWidth="1"/>
    <col min="9273" max="9273" width="1.75" style="279" customWidth="1"/>
    <col min="9274" max="9274" width="6.375" style="279" customWidth="1"/>
    <col min="9275" max="9276" width="9.375" style="279" customWidth="1"/>
    <col min="9277" max="9277" width="4.125" style="279" customWidth="1"/>
    <col min="9278" max="9278" width="5.875" style="279" customWidth="1"/>
    <col min="9279" max="9279" width="10.125" style="279" customWidth="1"/>
    <col min="9280" max="9280" width="9.375" style="279" customWidth="1"/>
    <col min="9281" max="9281" width="4" style="279" customWidth="1"/>
    <col min="9282" max="9282" width="5.875" style="279" customWidth="1"/>
    <col min="9283" max="9283" width="9.375" style="279" customWidth="1"/>
    <col min="9284" max="9284" width="11.25" style="279" customWidth="1"/>
    <col min="9285" max="9504" width="9" style="279"/>
    <col min="9505" max="9505" width="6" style="279" customWidth="1"/>
    <col min="9506" max="9507" width="9.375" style="279" customWidth="1"/>
    <col min="9508" max="9508" width="3.625" style="279" customWidth="1"/>
    <col min="9509" max="9509" width="5.875" style="279" customWidth="1"/>
    <col min="9510" max="9510" width="10.125" style="279" customWidth="1"/>
    <col min="9511" max="9511" width="9.375" style="279" customWidth="1"/>
    <col min="9512" max="9512" width="3.625" style="279" customWidth="1"/>
    <col min="9513" max="9513" width="5.875" style="279" customWidth="1"/>
    <col min="9514" max="9515" width="9.375" style="279" customWidth="1"/>
    <col min="9516" max="9528" width="0" style="279" hidden="1" customWidth="1"/>
    <col min="9529" max="9529" width="1.75" style="279" customWidth="1"/>
    <col min="9530" max="9530" width="6.375" style="279" customWidth="1"/>
    <col min="9531" max="9532" width="9.375" style="279" customWidth="1"/>
    <col min="9533" max="9533" width="4.125" style="279" customWidth="1"/>
    <col min="9534" max="9534" width="5.875" style="279" customWidth="1"/>
    <col min="9535" max="9535" width="10.125" style="279" customWidth="1"/>
    <col min="9536" max="9536" width="9.375" style="279" customWidth="1"/>
    <col min="9537" max="9537" width="4" style="279" customWidth="1"/>
    <col min="9538" max="9538" width="5.875" style="279" customWidth="1"/>
    <col min="9539" max="9539" width="9.375" style="279" customWidth="1"/>
    <col min="9540" max="9540" width="11.25" style="279" customWidth="1"/>
    <col min="9541" max="9760" width="9" style="279"/>
    <col min="9761" max="9761" width="6" style="279" customWidth="1"/>
    <col min="9762" max="9763" width="9.375" style="279" customWidth="1"/>
    <col min="9764" max="9764" width="3.625" style="279" customWidth="1"/>
    <col min="9765" max="9765" width="5.875" style="279" customWidth="1"/>
    <col min="9766" max="9766" width="10.125" style="279" customWidth="1"/>
    <col min="9767" max="9767" width="9.375" style="279" customWidth="1"/>
    <col min="9768" max="9768" width="3.625" style="279" customWidth="1"/>
    <col min="9769" max="9769" width="5.875" style="279" customWidth="1"/>
    <col min="9770" max="9771" width="9.375" style="279" customWidth="1"/>
    <col min="9772" max="9784" width="0" style="279" hidden="1" customWidth="1"/>
    <col min="9785" max="9785" width="1.75" style="279" customWidth="1"/>
    <col min="9786" max="9786" width="6.375" style="279" customWidth="1"/>
    <col min="9787" max="9788" width="9.375" style="279" customWidth="1"/>
    <col min="9789" max="9789" width="4.125" style="279" customWidth="1"/>
    <col min="9790" max="9790" width="5.875" style="279" customWidth="1"/>
    <col min="9791" max="9791" width="10.125" style="279" customWidth="1"/>
    <col min="9792" max="9792" width="9.375" style="279" customWidth="1"/>
    <col min="9793" max="9793" width="4" style="279" customWidth="1"/>
    <col min="9794" max="9794" width="5.875" style="279" customWidth="1"/>
    <col min="9795" max="9795" width="9.375" style="279" customWidth="1"/>
    <col min="9796" max="9796" width="11.25" style="279" customWidth="1"/>
    <col min="9797" max="10016" width="9" style="279"/>
    <col min="10017" max="10017" width="6" style="279" customWidth="1"/>
    <col min="10018" max="10019" width="9.375" style="279" customWidth="1"/>
    <col min="10020" max="10020" width="3.625" style="279" customWidth="1"/>
    <col min="10021" max="10021" width="5.875" style="279" customWidth="1"/>
    <col min="10022" max="10022" width="10.125" style="279" customWidth="1"/>
    <col min="10023" max="10023" width="9.375" style="279" customWidth="1"/>
    <col min="10024" max="10024" width="3.625" style="279" customWidth="1"/>
    <col min="10025" max="10025" width="5.875" style="279" customWidth="1"/>
    <col min="10026" max="10027" width="9.375" style="279" customWidth="1"/>
    <col min="10028" max="10040" width="0" style="279" hidden="1" customWidth="1"/>
    <col min="10041" max="10041" width="1.75" style="279" customWidth="1"/>
    <col min="10042" max="10042" width="6.375" style="279" customWidth="1"/>
    <col min="10043" max="10044" width="9.375" style="279" customWidth="1"/>
    <col min="10045" max="10045" width="4.125" style="279" customWidth="1"/>
    <col min="10046" max="10046" width="5.875" style="279" customWidth="1"/>
    <col min="10047" max="10047" width="10.125" style="279" customWidth="1"/>
    <col min="10048" max="10048" width="9.375" style="279" customWidth="1"/>
    <col min="10049" max="10049" width="4" style="279" customWidth="1"/>
    <col min="10050" max="10050" width="5.875" style="279" customWidth="1"/>
    <col min="10051" max="10051" width="9.375" style="279" customWidth="1"/>
    <col min="10052" max="10052" width="11.25" style="279" customWidth="1"/>
    <col min="10053" max="10272" width="9" style="279"/>
    <col min="10273" max="10273" width="6" style="279" customWidth="1"/>
    <col min="10274" max="10275" width="9.375" style="279" customWidth="1"/>
    <col min="10276" max="10276" width="3.625" style="279" customWidth="1"/>
    <col min="10277" max="10277" width="5.875" style="279" customWidth="1"/>
    <col min="10278" max="10278" width="10.125" style="279" customWidth="1"/>
    <col min="10279" max="10279" width="9.375" style="279" customWidth="1"/>
    <col min="10280" max="10280" width="3.625" style="279" customWidth="1"/>
    <col min="10281" max="10281" width="5.875" style="279" customWidth="1"/>
    <col min="10282" max="10283" width="9.375" style="279" customWidth="1"/>
    <col min="10284" max="10296" width="0" style="279" hidden="1" customWidth="1"/>
    <col min="10297" max="10297" width="1.75" style="279" customWidth="1"/>
    <col min="10298" max="10298" width="6.375" style="279" customWidth="1"/>
    <col min="10299" max="10300" width="9.375" style="279" customWidth="1"/>
    <col min="10301" max="10301" width="4.125" style="279" customWidth="1"/>
    <col min="10302" max="10302" width="5.875" style="279" customWidth="1"/>
    <col min="10303" max="10303" width="10.125" style="279" customWidth="1"/>
    <col min="10304" max="10304" width="9.375" style="279" customWidth="1"/>
    <col min="10305" max="10305" width="4" style="279" customWidth="1"/>
    <col min="10306" max="10306" width="5.875" style="279" customWidth="1"/>
    <col min="10307" max="10307" width="9.375" style="279" customWidth="1"/>
    <col min="10308" max="10308" width="11.25" style="279" customWidth="1"/>
    <col min="10309" max="10528" width="9" style="279"/>
    <col min="10529" max="10529" width="6" style="279" customWidth="1"/>
    <col min="10530" max="10531" width="9.375" style="279" customWidth="1"/>
    <col min="10532" max="10532" width="3.625" style="279" customWidth="1"/>
    <col min="10533" max="10533" width="5.875" style="279" customWidth="1"/>
    <col min="10534" max="10534" width="10.125" style="279" customWidth="1"/>
    <col min="10535" max="10535" width="9.375" style="279" customWidth="1"/>
    <col min="10536" max="10536" width="3.625" style="279" customWidth="1"/>
    <col min="10537" max="10537" width="5.875" style="279" customWidth="1"/>
    <col min="10538" max="10539" width="9.375" style="279" customWidth="1"/>
    <col min="10540" max="10552" width="0" style="279" hidden="1" customWidth="1"/>
    <col min="10553" max="10553" width="1.75" style="279" customWidth="1"/>
    <col min="10554" max="10554" width="6.375" style="279" customWidth="1"/>
    <col min="10555" max="10556" width="9.375" style="279" customWidth="1"/>
    <col min="10557" max="10557" width="4.125" style="279" customWidth="1"/>
    <col min="10558" max="10558" width="5.875" style="279" customWidth="1"/>
    <col min="10559" max="10559" width="10.125" style="279" customWidth="1"/>
    <col min="10560" max="10560" width="9.375" style="279" customWidth="1"/>
    <col min="10561" max="10561" width="4" style="279" customWidth="1"/>
    <col min="10562" max="10562" width="5.875" style="279" customWidth="1"/>
    <col min="10563" max="10563" width="9.375" style="279" customWidth="1"/>
    <col min="10564" max="10564" width="11.25" style="279" customWidth="1"/>
    <col min="10565" max="10784" width="9" style="279"/>
    <col min="10785" max="10785" width="6" style="279" customWidth="1"/>
    <col min="10786" max="10787" width="9.375" style="279" customWidth="1"/>
    <col min="10788" max="10788" width="3.625" style="279" customWidth="1"/>
    <col min="10789" max="10789" width="5.875" style="279" customWidth="1"/>
    <col min="10790" max="10790" width="10.125" style="279" customWidth="1"/>
    <col min="10791" max="10791" width="9.375" style="279" customWidth="1"/>
    <col min="10792" max="10792" width="3.625" style="279" customWidth="1"/>
    <col min="10793" max="10793" width="5.875" style="279" customWidth="1"/>
    <col min="10794" max="10795" width="9.375" style="279" customWidth="1"/>
    <col min="10796" max="10808" width="0" style="279" hidden="1" customWidth="1"/>
    <col min="10809" max="10809" width="1.75" style="279" customWidth="1"/>
    <col min="10810" max="10810" width="6.375" style="279" customWidth="1"/>
    <col min="10811" max="10812" width="9.375" style="279" customWidth="1"/>
    <col min="10813" max="10813" width="4.125" style="279" customWidth="1"/>
    <col min="10814" max="10814" width="5.875" style="279" customWidth="1"/>
    <col min="10815" max="10815" width="10.125" style="279" customWidth="1"/>
    <col min="10816" max="10816" width="9.375" style="279" customWidth="1"/>
    <col min="10817" max="10817" width="4" style="279" customWidth="1"/>
    <col min="10818" max="10818" width="5.875" style="279" customWidth="1"/>
    <col min="10819" max="10819" width="9.375" style="279" customWidth="1"/>
    <col min="10820" max="10820" width="11.25" style="279" customWidth="1"/>
    <col min="10821" max="11040" width="9" style="279"/>
    <col min="11041" max="11041" width="6" style="279" customWidth="1"/>
    <col min="11042" max="11043" width="9.375" style="279" customWidth="1"/>
    <col min="11044" max="11044" width="3.625" style="279" customWidth="1"/>
    <col min="11045" max="11045" width="5.875" style="279" customWidth="1"/>
    <col min="11046" max="11046" width="10.125" style="279" customWidth="1"/>
    <col min="11047" max="11047" width="9.375" style="279" customWidth="1"/>
    <col min="11048" max="11048" width="3.625" style="279" customWidth="1"/>
    <col min="11049" max="11049" width="5.875" style="279" customWidth="1"/>
    <col min="11050" max="11051" width="9.375" style="279" customWidth="1"/>
    <col min="11052" max="11064" width="0" style="279" hidden="1" customWidth="1"/>
    <col min="11065" max="11065" width="1.75" style="279" customWidth="1"/>
    <col min="11066" max="11066" width="6.375" style="279" customWidth="1"/>
    <col min="11067" max="11068" width="9.375" style="279" customWidth="1"/>
    <col min="11069" max="11069" width="4.125" style="279" customWidth="1"/>
    <col min="11070" max="11070" width="5.875" style="279" customWidth="1"/>
    <col min="11071" max="11071" width="10.125" style="279" customWidth="1"/>
    <col min="11072" max="11072" width="9.375" style="279" customWidth="1"/>
    <col min="11073" max="11073" width="4" style="279" customWidth="1"/>
    <col min="11074" max="11074" width="5.875" style="279" customWidth="1"/>
    <col min="11075" max="11075" width="9.375" style="279" customWidth="1"/>
    <col min="11076" max="11076" width="11.25" style="279" customWidth="1"/>
    <col min="11077" max="11296" width="9" style="279"/>
    <col min="11297" max="11297" width="6" style="279" customWidth="1"/>
    <col min="11298" max="11299" width="9.375" style="279" customWidth="1"/>
    <col min="11300" max="11300" width="3.625" style="279" customWidth="1"/>
    <col min="11301" max="11301" width="5.875" style="279" customWidth="1"/>
    <col min="11302" max="11302" width="10.125" style="279" customWidth="1"/>
    <col min="11303" max="11303" width="9.375" style="279" customWidth="1"/>
    <col min="11304" max="11304" width="3.625" style="279" customWidth="1"/>
    <col min="11305" max="11305" width="5.875" style="279" customWidth="1"/>
    <col min="11306" max="11307" width="9.375" style="279" customWidth="1"/>
    <col min="11308" max="11320" width="0" style="279" hidden="1" customWidth="1"/>
    <col min="11321" max="11321" width="1.75" style="279" customWidth="1"/>
    <col min="11322" max="11322" width="6.375" style="279" customWidth="1"/>
    <col min="11323" max="11324" width="9.375" style="279" customWidth="1"/>
    <col min="11325" max="11325" width="4.125" style="279" customWidth="1"/>
    <col min="11326" max="11326" width="5.875" style="279" customWidth="1"/>
    <col min="11327" max="11327" width="10.125" style="279" customWidth="1"/>
    <col min="11328" max="11328" width="9.375" style="279" customWidth="1"/>
    <col min="11329" max="11329" width="4" style="279" customWidth="1"/>
    <col min="11330" max="11330" width="5.875" style="279" customWidth="1"/>
    <col min="11331" max="11331" width="9.375" style="279" customWidth="1"/>
    <col min="11332" max="11332" width="11.25" style="279" customWidth="1"/>
    <col min="11333" max="11552" width="9" style="279"/>
    <col min="11553" max="11553" width="6" style="279" customWidth="1"/>
    <col min="11554" max="11555" width="9.375" style="279" customWidth="1"/>
    <col min="11556" max="11556" width="3.625" style="279" customWidth="1"/>
    <col min="11557" max="11557" width="5.875" style="279" customWidth="1"/>
    <col min="11558" max="11558" width="10.125" style="279" customWidth="1"/>
    <col min="11559" max="11559" width="9.375" style="279" customWidth="1"/>
    <col min="11560" max="11560" width="3.625" style="279" customWidth="1"/>
    <col min="11561" max="11561" width="5.875" style="279" customWidth="1"/>
    <col min="11562" max="11563" width="9.375" style="279" customWidth="1"/>
    <col min="11564" max="11576" width="0" style="279" hidden="1" customWidth="1"/>
    <col min="11577" max="11577" width="1.75" style="279" customWidth="1"/>
    <col min="11578" max="11578" width="6.375" style="279" customWidth="1"/>
    <col min="11579" max="11580" width="9.375" style="279" customWidth="1"/>
    <col min="11581" max="11581" width="4.125" style="279" customWidth="1"/>
    <col min="11582" max="11582" width="5.875" style="279" customWidth="1"/>
    <col min="11583" max="11583" width="10.125" style="279" customWidth="1"/>
    <col min="11584" max="11584" width="9.375" style="279" customWidth="1"/>
    <col min="11585" max="11585" width="4" style="279" customWidth="1"/>
    <col min="11586" max="11586" width="5.875" style="279" customWidth="1"/>
    <col min="11587" max="11587" width="9.375" style="279" customWidth="1"/>
    <col min="11588" max="11588" width="11.25" style="279" customWidth="1"/>
    <col min="11589" max="11808" width="9" style="279"/>
    <col min="11809" max="11809" width="6" style="279" customWidth="1"/>
    <col min="11810" max="11811" width="9.375" style="279" customWidth="1"/>
    <col min="11812" max="11812" width="3.625" style="279" customWidth="1"/>
    <col min="11813" max="11813" width="5.875" style="279" customWidth="1"/>
    <col min="11814" max="11814" width="10.125" style="279" customWidth="1"/>
    <col min="11815" max="11815" width="9.375" style="279" customWidth="1"/>
    <col min="11816" max="11816" width="3.625" style="279" customWidth="1"/>
    <col min="11817" max="11817" width="5.875" style="279" customWidth="1"/>
    <col min="11818" max="11819" width="9.375" style="279" customWidth="1"/>
    <col min="11820" max="11832" width="0" style="279" hidden="1" customWidth="1"/>
    <col min="11833" max="11833" width="1.75" style="279" customWidth="1"/>
    <col min="11834" max="11834" width="6.375" style="279" customWidth="1"/>
    <col min="11835" max="11836" width="9.375" style="279" customWidth="1"/>
    <col min="11837" max="11837" width="4.125" style="279" customWidth="1"/>
    <col min="11838" max="11838" width="5.875" style="279" customWidth="1"/>
    <col min="11839" max="11839" width="10.125" style="279" customWidth="1"/>
    <col min="11840" max="11840" width="9.375" style="279" customWidth="1"/>
    <col min="11841" max="11841" width="4" style="279" customWidth="1"/>
    <col min="11842" max="11842" width="5.875" style="279" customWidth="1"/>
    <col min="11843" max="11843" width="9.375" style="279" customWidth="1"/>
    <col min="11844" max="11844" width="11.25" style="279" customWidth="1"/>
    <col min="11845" max="12064" width="9" style="279"/>
    <col min="12065" max="12065" width="6" style="279" customWidth="1"/>
    <col min="12066" max="12067" width="9.375" style="279" customWidth="1"/>
    <col min="12068" max="12068" width="3.625" style="279" customWidth="1"/>
    <col min="12069" max="12069" width="5.875" style="279" customWidth="1"/>
    <col min="12070" max="12070" width="10.125" style="279" customWidth="1"/>
    <col min="12071" max="12071" width="9.375" style="279" customWidth="1"/>
    <col min="12072" max="12072" width="3.625" style="279" customWidth="1"/>
    <col min="12073" max="12073" width="5.875" style="279" customWidth="1"/>
    <col min="12074" max="12075" width="9.375" style="279" customWidth="1"/>
    <col min="12076" max="12088" width="0" style="279" hidden="1" customWidth="1"/>
    <col min="12089" max="12089" width="1.75" style="279" customWidth="1"/>
    <col min="12090" max="12090" width="6.375" style="279" customWidth="1"/>
    <col min="12091" max="12092" width="9.375" style="279" customWidth="1"/>
    <col min="12093" max="12093" width="4.125" style="279" customWidth="1"/>
    <col min="12094" max="12094" width="5.875" style="279" customWidth="1"/>
    <col min="12095" max="12095" width="10.125" style="279" customWidth="1"/>
    <col min="12096" max="12096" width="9.375" style="279" customWidth="1"/>
    <col min="12097" max="12097" width="4" style="279" customWidth="1"/>
    <col min="12098" max="12098" width="5.875" style="279" customWidth="1"/>
    <col min="12099" max="12099" width="9.375" style="279" customWidth="1"/>
    <col min="12100" max="12100" width="11.25" style="279" customWidth="1"/>
    <col min="12101" max="12320" width="9" style="279"/>
    <col min="12321" max="12321" width="6" style="279" customWidth="1"/>
    <col min="12322" max="12323" width="9.375" style="279" customWidth="1"/>
    <col min="12324" max="12324" width="3.625" style="279" customWidth="1"/>
    <col min="12325" max="12325" width="5.875" style="279" customWidth="1"/>
    <col min="12326" max="12326" width="10.125" style="279" customWidth="1"/>
    <col min="12327" max="12327" width="9.375" style="279" customWidth="1"/>
    <col min="12328" max="12328" width="3.625" style="279" customWidth="1"/>
    <col min="12329" max="12329" width="5.875" style="279" customWidth="1"/>
    <col min="12330" max="12331" width="9.375" style="279" customWidth="1"/>
    <col min="12332" max="12344" width="0" style="279" hidden="1" customWidth="1"/>
    <col min="12345" max="12345" width="1.75" style="279" customWidth="1"/>
    <col min="12346" max="12346" width="6.375" style="279" customWidth="1"/>
    <col min="12347" max="12348" width="9.375" style="279" customWidth="1"/>
    <col min="12349" max="12349" width="4.125" style="279" customWidth="1"/>
    <col min="12350" max="12350" width="5.875" style="279" customWidth="1"/>
    <col min="12351" max="12351" width="10.125" style="279" customWidth="1"/>
    <col min="12352" max="12352" width="9.375" style="279" customWidth="1"/>
    <col min="12353" max="12353" width="4" style="279" customWidth="1"/>
    <col min="12354" max="12354" width="5.875" style="279" customWidth="1"/>
    <col min="12355" max="12355" width="9.375" style="279" customWidth="1"/>
    <col min="12356" max="12356" width="11.25" style="279" customWidth="1"/>
    <col min="12357" max="12576" width="9" style="279"/>
    <col min="12577" max="12577" width="6" style="279" customWidth="1"/>
    <col min="12578" max="12579" width="9.375" style="279" customWidth="1"/>
    <col min="12580" max="12580" width="3.625" style="279" customWidth="1"/>
    <col min="12581" max="12581" width="5.875" style="279" customWidth="1"/>
    <col min="12582" max="12582" width="10.125" style="279" customWidth="1"/>
    <col min="12583" max="12583" width="9.375" style="279" customWidth="1"/>
    <col min="12584" max="12584" width="3.625" style="279" customWidth="1"/>
    <col min="12585" max="12585" width="5.875" style="279" customWidth="1"/>
    <col min="12586" max="12587" width="9.375" style="279" customWidth="1"/>
    <col min="12588" max="12600" width="0" style="279" hidden="1" customWidth="1"/>
    <col min="12601" max="12601" width="1.75" style="279" customWidth="1"/>
    <col min="12602" max="12602" width="6.375" style="279" customWidth="1"/>
    <col min="12603" max="12604" width="9.375" style="279" customWidth="1"/>
    <col min="12605" max="12605" width="4.125" style="279" customWidth="1"/>
    <col min="12606" max="12606" width="5.875" style="279" customWidth="1"/>
    <col min="12607" max="12607" width="10.125" style="279" customWidth="1"/>
    <col min="12608" max="12608" width="9.375" style="279" customWidth="1"/>
    <col min="12609" max="12609" width="4" style="279" customWidth="1"/>
    <col min="12610" max="12610" width="5.875" style="279" customWidth="1"/>
    <col min="12611" max="12611" width="9.375" style="279" customWidth="1"/>
    <col min="12612" max="12612" width="11.25" style="279" customWidth="1"/>
    <col min="12613" max="12832" width="9" style="279"/>
    <col min="12833" max="12833" width="6" style="279" customWidth="1"/>
    <col min="12834" max="12835" width="9.375" style="279" customWidth="1"/>
    <col min="12836" max="12836" width="3.625" style="279" customWidth="1"/>
    <col min="12837" max="12837" width="5.875" style="279" customWidth="1"/>
    <col min="12838" max="12838" width="10.125" style="279" customWidth="1"/>
    <col min="12839" max="12839" width="9.375" style="279" customWidth="1"/>
    <col min="12840" max="12840" width="3.625" style="279" customWidth="1"/>
    <col min="12841" max="12841" width="5.875" style="279" customWidth="1"/>
    <col min="12842" max="12843" width="9.375" style="279" customWidth="1"/>
    <col min="12844" max="12856" width="0" style="279" hidden="1" customWidth="1"/>
    <col min="12857" max="12857" width="1.75" style="279" customWidth="1"/>
    <col min="12858" max="12858" width="6.375" style="279" customWidth="1"/>
    <col min="12859" max="12860" width="9.375" style="279" customWidth="1"/>
    <col min="12861" max="12861" width="4.125" style="279" customWidth="1"/>
    <col min="12862" max="12862" width="5.875" style="279" customWidth="1"/>
    <col min="12863" max="12863" width="10.125" style="279" customWidth="1"/>
    <col min="12864" max="12864" width="9.375" style="279" customWidth="1"/>
    <col min="12865" max="12865" width="4" style="279" customWidth="1"/>
    <col min="12866" max="12866" width="5.875" style="279" customWidth="1"/>
    <col min="12867" max="12867" width="9.375" style="279" customWidth="1"/>
    <col min="12868" max="12868" width="11.25" style="279" customWidth="1"/>
    <col min="12869" max="13088" width="9" style="279"/>
    <col min="13089" max="13089" width="6" style="279" customWidth="1"/>
    <col min="13090" max="13091" width="9.375" style="279" customWidth="1"/>
    <col min="13092" max="13092" width="3.625" style="279" customWidth="1"/>
    <col min="13093" max="13093" width="5.875" style="279" customWidth="1"/>
    <col min="13094" max="13094" width="10.125" style="279" customWidth="1"/>
    <col min="13095" max="13095" width="9.375" style="279" customWidth="1"/>
    <col min="13096" max="13096" width="3.625" style="279" customWidth="1"/>
    <col min="13097" max="13097" width="5.875" style="279" customWidth="1"/>
    <col min="13098" max="13099" width="9.375" style="279" customWidth="1"/>
    <col min="13100" max="13112" width="0" style="279" hidden="1" customWidth="1"/>
    <col min="13113" max="13113" width="1.75" style="279" customWidth="1"/>
    <col min="13114" max="13114" width="6.375" style="279" customWidth="1"/>
    <col min="13115" max="13116" width="9.375" style="279" customWidth="1"/>
    <col min="13117" max="13117" width="4.125" style="279" customWidth="1"/>
    <col min="13118" max="13118" width="5.875" style="279" customWidth="1"/>
    <col min="13119" max="13119" width="10.125" style="279" customWidth="1"/>
    <col min="13120" max="13120" width="9.375" style="279" customWidth="1"/>
    <col min="13121" max="13121" width="4" style="279" customWidth="1"/>
    <col min="13122" max="13122" width="5.875" style="279" customWidth="1"/>
    <col min="13123" max="13123" width="9.375" style="279" customWidth="1"/>
    <col min="13124" max="13124" width="11.25" style="279" customWidth="1"/>
    <col min="13125" max="13344" width="9" style="279"/>
    <col min="13345" max="13345" width="6" style="279" customWidth="1"/>
    <col min="13346" max="13347" width="9.375" style="279" customWidth="1"/>
    <col min="13348" max="13348" width="3.625" style="279" customWidth="1"/>
    <col min="13349" max="13349" width="5.875" style="279" customWidth="1"/>
    <col min="13350" max="13350" width="10.125" style="279" customWidth="1"/>
    <col min="13351" max="13351" width="9.375" style="279" customWidth="1"/>
    <col min="13352" max="13352" width="3.625" style="279" customWidth="1"/>
    <col min="13353" max="13353" width="5.875" style="279" customWidth="1"/>
    <col min="13354" max="13355" width="9.375" style="279" customWidth="1"/>
    <col min="13356" max="13368" width="0" style="279" hidden="1" customWidth="1"/>
    <col min="13369" max="13369" width="1.75" style="279" customWidth="1"/>
    <col min="13370" max="13370" width="6.375" style="279" customWidth="1"/>
    <col min="13371" max="13372" width="9.375" style="279" customWidth="1"/>
    <col min="13373" max="13373" width="4.125" style="279" customWidth="1"/>
    <col min="13374" max="13374" width="5.875" style="279" customWidth="1"/>
    <col min="13375" max="13375" width="10.125" style="279" customWidth="1"/>
    <col min="13376" max="13376" width="9.375" style="279" customWidth="1"/>
    <col min="13377" max="13377" width="4" style="279" customWidth="1"/>
    <col min="13378" max="13378" width="5.875" style="279" customWidth="1"/>
    <col min="13379" max="13379" width="9.375" style="279" customWidth="1"/>
    <col min="13380" max="13380" width="11.25" style="279" customWidth="1"/>
    <col min="13381" max="13600" width="9" style="279"/>
    <col min="13601" max="13601" width="6" style="279" customWidth="1"/>
    <col min="13602" max="13603" width="9.375" style="279" customWidth="1"/>
    <col min="13604" max="13604" width="3.625" style="279" customWidth="1"/>
    <col min="13605" max="13605" width="5.875" style="279" customWidth="1"/>
    <col min="13606" max="13606" width="10.125" style="279" customWidth="1"/>
    <col min="13607" max="13607" width="9.375" style="279" customWidth="1"/>
    <col min="13608" max="13608" width="3.625" style="279" customWidth="1"/>
    <col min="13609" max="13609" width="5.875" style="279" customWidth="1"/>
    <col min="13610" max="13611" width="9.375" style="279" customWidth="1"/>
    <col min="13612" max="13624" width="0" style="279" hidden="1" customWidth="1"/>
    <col min="13625" max="13625" width="1.75" style="279" customWidth="1"/>
    <col min="13626" max="13626" width="6.375" style="279" customWidth="1"/>
    <col min="13627" max="13628" width="9.375" style="279" customWidth="1"/>
    <col min="13629" max="13629" width="4.125" style="279" customWidth="1"/>
    <col min="13630" max="13630" width="5.875" style="279" customWidth="1"/>
    <col min="13631" max="13631" width="10.125" style="279" customWidth="1"/>
    <col min="13632" max="13632" width="9.375" style="279" customWidth="1"/>
    <col min="13633" max="13633" width="4" style="279" customWidth="1"/>
    <col min="13634" max="13634" width="5.875" style="279" customWidth="1"/>
    <col min="13635" max="13635" width="9.375" style="279" customWidth="1"/>
    <col min="13636" max="13636" width="11.25" style="279" customWidth="1"/>
    <col min="13637" max="13856" width="9" style="279"/>
    <col min="13857" max="13857" width="6" style="279" customWidth="1"/>
    <col min="13858" max="13859" width="9.375" style="279" customWidth="1"/>
    <col min="13860" max="13860" width="3.625" style="279" customWidth="1"/>
    <col min="13861" max="13861" width="5.875" style="279" customWidth="1"/>
    <col min="13862" max="13862" width="10.125" style="279" customWidth="1"/>
    <col min="13863" max="13863" width="9.375" style="279" customWidth="1"/>
    <col min="13864" max="13864" width="3.625" style="279" customWidth="1"/>
    <col min="13865" max="13865" width="5.875" style="279" customWidth="1"/>
    <col min="13866" max="13867" width="9.375" style="279" customWidth="1"/>
    <col min="13868" max="13880" width="0" style="279" hidden="1" customWidth="1"/>
    <col min="13881" max="13881" width="1.75" style="279" customWidth="1"/>
    <col min="13882" max="13882" width="6.375" style="279" customWidth="1"/>
    <col min="13883" max="13884" width="9.375" style="279" customWidth="1"/>
    <col min="13885" max="13885" width="4.125" style="279" customWidth="1"/>
    <col min="13886" max="13886" width="5.875" style="279" customWidth="1"/>
    <col min="13887" max="13887" width="10.125" style="279" customWidth="1"/>
    <col min="13888" max="13888" width="9.375" style="279" customWidth="1"/>
    <col min="13889" max="13889" width="4" style="279" customWidth="1"/>
    <col min="13890" max="13890" width="5.875" style="279" customWidth="1"/>
    <col min="13891" max="13891" width="9.375" style="279" customWidth="1"/>
    <col min="13892" max="13892" width="11.25" style="279" customWidth="1"/>
    <col min="13893" max="14112" width="9" style="279"/>
    <col min="14113" max="14113" width="6" style="279" customWidth="1"/>
    <col min="14114" max="14115" width="9.375" style="279" customWidth="1"/>
    <col min="14116" max="14116" width="3.625" style="279" customWidth="1"/>
    <col min="14117" max="14117" width="5.875" style="279" customWidth="1"/>
    <col min="14118" max="14118" width="10.125" style="279" customWidth="1"/>
    <col min="14119" max="14119" width="9.375" style="279" customWidth="1"/>
    <col min="14120" max="14120" width="3.625" style="279" customWidth="1"/>
    <col min="14121" max="14121" width="5.875" style="279" customWidth="1"/>
    <col min="14122" max="14123" width="9.375" style="279" customWidth="1"/>
    <col min="14124" max="14136" width="0" style="279" hidden="1" customWidth="1"/>
    <col min="14137" max="14137" width="1.75" style="279" customWidth="1"/>
    <col min="14138" max="14138" width="6.375" style="279" customWidth="1"/>
    <col min="14139" max="14140" width="9.375" style="279" customWidth="1"/>
    <col min="14141" max="14141" width="4.125" style="279" customWidth="1"/>
    <col min="14142" max="14142" width="5.875" style="279" customWidth="1"/>
    <col min="14143" max="14143" width="10.125" style="279" customWidth="1"/>
    <col min="14144" max="14144" width="9.375" style="279" customWidth="1"/>
    <col min="14145" max="14145" width="4" style="279" customWidth="1"/>
    <col min="14146" max="14146" width="5.875" style="279" customWidth="1"/>
    <col min="14147" max="14147" width="9.375" style="279" customWidth="1"/>
    <col min="14148" max="14148" width="11.25" style="279" customWidth="1"/>
    <col min="14149" max="14368" width="9" style="279"/>
    <col min="14369" max="14369" width="6" style="279" customWidth="1"/>
    <col min="14370" max="14371" width="9.375" style="279" customWidth="1"/>
    <col min="14372" max="14372" width="3.625" style="279" customWidth="1"/>
    <col min="14373" max="14373" width="5.875" style="279" customWidth="1"/>
    <col min="14374" max="14374" width="10.125" style="279" customWidth="1"/>
    <col min="14375" max="14375" width="9.375" style="279" customWidth="1"/>
    <col min="14376" max="14376" width="3.625" style="279" customWidth="1"/>
    <col min="14377" max="14377" width="5.875" style="279" customWidth="1"/>
    <col min="14378" max="14379" width="9.375" style="279" customWidth="1"/>
    <col min="14380" max="14392" width="0" style="279" hidden="1" customWidth="1"/>
    <col min="14393" max="14393" width="1.75" style="279" customWidth="1"/>
    <col min="14394" max="14394" width="6.375" style="279" customWidth="1"/>
    <col min="14395" max="14396" width="9.375" style="279" customWidth="1"/>
    <col min="14397" max="14397" width="4.125" style="279" customWidth="1"/>
    <col min="14398" max="14398" width="5.875" style="279" customWidth="1"/>
    <col min="14399" max="14399" width="10.125" style="279" customWidth="1"/>
    <col min="14400" max="14400" width="9.375" style="279" customWidth="1"/>
    <col min="14401" max="14401" width="4" style="279" customWidth="1"/>
    <col min="14402" max="14402" width="5.875" style="279" customWidth="1"/>
    <col min="14403" max="14403" width="9.375" style="279" customWidth="1"/>
    <col min="14404" max="14404" width="11.25" style="279" customWidth="1"/>
    <col min="14405" max="14624" width="9" style="279"/>
    <col min="14625" max="14625" width="6" style="279" customWidth="1"/>
    <col min="14626" max="14627" width="9.375" style="279" customWidth="1"/>
    <col min="14628" max="14628" width="3.625" style="279" customWidth="1"/>
    <col min="14629" max="14629" width="5.875" style="279" customWidth="1"/>
    <col min="14630" max="14630" width="10.125" style="279" customWidth="1"/>
    <col min="14631" max="14631" width="9.375" style="279" customWidth="1"/>
    <col min="14632" max="14632" width="3.625" style="279" customWidth="1"/>
    <col min="14633" max="14633" width="5.875" style="279" customWidth="1"/>
    <col min="14634" max="14635" width="9.375" style="279" customWidth="1"/>
    <col min="14636" max="14648" width="0" style="279" hidden="1" customWidth="1"/>
    <col min="14649" max="14649" width="1.75" style="279" customWidth="1"/>
    <col min="14650" max="14650" width="6.375" style="279" customWidth="1"/>
    <col min="14651" max="14652" width="9.375" style="279" customWidth="1"/>
    <col min="14653" max="14653" width="4.125" style="279" customWidth="1"/>
    <col min="14654" max="14654" width="5.875" style="279" customWidth="1"/>
    <col min="14655" max="14655" width="10.125" style="279" customWidth="1"/>
    <col min="14656" max="14656" width="9.375" style="279" customWidth="1"/>
    <col min="14657" max="14657" width="4" style="279" customWidth="1"/>
    <col min="14658" max="14658" width="5.875" style="279" customWidth="1"/>
    <col min="14659" max="14659" width="9.375" style="279" customWidth="1"/>
    <col min="14660" max="14660" width="11.25" style="279" customWidth="1"/>
    <col min="14661" max="14880" width="9" style="279"/>
    <col min="14881" max="14881" width="6" style="279" customWidth="1"/>
    <col min="14882" max="14883" width="9.375" style="279" customWidth="1"/>
    <col min="14884" max="14884" width="3.625" style="279" customWidth="1"/>
    <col min="14885" max="14885" width="5.875" style="279" customWidth="1"/>
    <col min="14886" max="14886" width="10.125" style="279" customWidth="1"/>
    <col min="14887" max="14887" width="9.375" style="279" customWidth="1"/>
    <col min="14888" max="14888" width="3.625" style="279" customWidth="1"/>
    <col min="14889" max="14889" width="5.875" style="279" customWidth="1"/>
    <col min="14890" max="14891" width="9.375" style="279" customWidth="1"/>
    <col min="14892" max="14904" width="0" style="279" hidden="1" customWidth="1"/>
    <col min="14905" max="14905" width="1.75" style="279" customWidth="1"/>
    <col min="14906" max="14906" width="6.375" style="279" customWidth="1"/>
    <col min="14907" max="14908" width="9.375" style="279" customWidth="1"/>
    <col min="14909" max="14909" width="4.125" style="279" customWidth="1"/>
    <col min="14910" max="14910" width="5.875" style="279" customWidth="1"/>
    <col min="14911" max="14911" width="10.125" style="279" customWidth="1"/>
    <col min="14912" max="14912" width="9.375" style="279" customWidth="1"/>
    <col min="14913" max="14913" width="4" style="279" customWidth="1"/>
    <col min="14914" max="14914" width="5.875" style="279" customWidth="1"/>
    <col min="14915" max="14915" width="9.375" style="279" customWidth="1"/>
    <col min="14916" max="14916" width="11.25" style="279" customWidth="1"/>
    <col min="14917" max="15136" width="9" style="279"/>
    <col min="15137" max="15137" width="6" style="279" customWidth="1"/>
    <col min="15138" max="15139" width="9.375" style="279" customWidth="1"/>
    <col min="15140" max="15140" width="3.625" style="279" customWidth="1"/>
    <col min="15141" max="15141" width="5.875" style="279" customWidth="1"/>
    <col min="15142" max="15142" width="10.125" style="279" customWidth="1"/>
    <col min="15143" max="15143" width="9.375" style="279" customWidth="1"/>
    <col min="15144" max="15144" width="3.625" style="279" customWidth="1"/>
    <col min="15145" max="15145" width="5.875" style="279" customWidth="1"/>
    <col min="15146" max="15147" width="9.375" style="279" customWidth="1"/>
    <col min="15148" max="15160" width="0" style="279" hidden="1" customWidth="1"/>
    <col min="15161" max="15161" width="1.75" style="279" customWidth="1"/>
    <col min="15162" max="15162" width="6.375" style="279" customWidth="1"/>
    <col min="15163" max="15164" width="9.375" style="279" customWidth="1"/>
    <col min="15165" max="15165" width="4.125" style="279" customWidth="1"/>
    <col min="15166" max="15166" width="5.875" style="279" customWidth="1"/>
    <col min="15167" max="15167" width="10.125" style="279" customWidth="1"/>
    <col min="15168" max="15168" width="9.375" style="279" customWidth="1"/>
    <col min="15169" max="15169" width="4" style="279" customWidth="1"/>
    <col min="15170" max="15170" width="5.875" style="279" customWidth="1"/>
    <col min="15171" max="15171" width="9.375" style="279" customWidth="1"/>
    <col min="15172" max="15172" width="11.25" style="279" customWidth="1"/>
    <col min="15173" max="15392" width="9" style="279"/>
    <col min="15393" max="15393" width="6" style="279" customWidth="1"/>
    <col min="15394" max="15395" width="9.375" style="279" customWidth="1"/>
    <col min="15396" max="15396" width="3.625" style="279" customWidth="1"/>
    <col min="15397" max="15397" width="5.875" style="279" customWidth="1"/>
    <col min="15398" max="15398" width="10.125" style="279" customWidth="1"/>
    <col min="15399" max="15399" width="9.375" style="279" customWidth="1"/>
    <col min="15400" max="15400" width="3.625" style="279" customWidth="1"/>
    <col min="15401" max="15401" width="5.875" style="279" customWidth="1"/>
    <col min="15402" max="15403" width="9.375" style="279" customWidth="1"/>
    <col min="15404" max="15416" width="0" style="279" hidden="1" customWidth="1"/>
    <col min="15417" max="15417" width="1.75" style="279" customWidth="1"/>
    <col min="15418" max="15418" width="6.375" style="279" customWidth="1"/>
    <col min="15419" max="15420" width="9.375" style="279" customWidth="1"/>
    <col min="15421" max="15421" width="4.125" style="279" customWidth="1"/>
    <col min="15422" max="15422" width="5.875" style="279" customWidth="1"/>
    <col min="15423" max="15423" width="10.125" style="279" customWidth="1"/>
    <col min="15424" max="15424" width="9.375" style="279" customWidth="1"/>
    <col min="15425" max="15425" width="4" style="279" customWidth="1"/>
    <col min="15426" max="15426" width="5.875" style="279" customWidth="1"/>
    <col min="15427" max="15427" width="9.375" style="279" customWidth="1"/>
    <col min="15428" max="15428" width="11.25" style="279" customWidth="1"/>
    <col min="15429" max="15648" width="9" style="279"/>
    <col min="15649" max="15649" width="6" style="279" customWidth="1"/>
    <col min="15650" max="15651" width="9.375" style="279" customWidth="1"/>
    <col min="15652" max="15652" width="3.625" style="279" customWidth="1"/>
    <col min="15653" max="15653" width="5.875" style="279" customWidth="1"/>
    <col min="15654" max="15654" width="10.125" style="279" customWidth="1"/>
    <col min="15655" max="15655" width="9.375" style="279" customWidth="1"/>
    <col min="15656" max="15656" width="3.625" style="279" customWidth="1"/>
    <col min="15657" max="15657" width="5.875" style="279" customWidth="1"/>
    <col min="15658" max="15659" width="9.375" style="279" customWidth="1"/>
    <col min="15660" max="15672" width="0" style="279" hidden="1" customWidth="1"/>
    <col min="15673" max="15673" width="1.75" style="279" customWidth="1"/>
    <col min="15674" max="15674" width="6.375" style="279" customWidth="1"/>
    <col min="15675" max="15676" width="9.375" style="279" customWidth="1"/>
    <col min="15677" max="15677" width="4.125" style="279" customWidth="1"/>
    <col min="15678" max="15678" width="5.875" style="279" customWidth="1"/>
    <col min="15679" max="15679" width="10.125" style="279" customWidth="1"/>
    <col min="15680" max="15680" width="9.375" style="279" customWidth="1"/>
    <col min="15681" max="15681" width="4" style="279" customWidth="1"/>
    <col min="15682" max="15682" width="5.875" style="279" customWidth="1"/>
    <col min="15683" max="15683" width="9.375" style="279" customWidth="1"/>
    <col min="15684" max="15684" width="11.25" style="279" customWidth="1"/>
    <col min="15685" max="15904" width="9" style="279"/>
    <col min="15905" max="15905" width="6" style="279" customWidth="1"/>
    <col min="15906" max="15907" width="9.375" style="279" customWidth="1"/>
    <col min="15908" max="15908" width="3.625" style="279" customWidth="1"/>
    <col min="15909" max="15909" width="5.875" style="279" customWidth="1"/>
    <col min="15910" max="15910" width="10.125" style="279" customWidth="1"/>
    <col min="15911" max="15911" width="9.375" style="279" customWidth="1"/>
    <col min="15912" max="15912" width="3.625" style="279" customWidth="1"/>
    <col min="15913" max="15913" width="5.875" style="279" customWidth="1"/>
    <col min="15914" max="15915" width="9.375" style="279" customWidth="1"/>
    <col min="15916" max="15928" width="0" style="279" hidden="1" customWidth="1"/>
    <col min="15929" max="15929" width="1.75" style="279" customWidth="1"/>
    <col min="15930" max="15930" width="6.375" style="279" customWidth="1"/>
    <col min="15931" max="15932" width="9.375" style="279" customWidth="1"/>
    <col min="15933" max="15933" width="4.125" style="279" customWidth="1"/>
    <col min="15934" max="15934" width="5.875" style="279" customWidth="1"/>
    <col min="15935" max="15935" width="10.125" style="279" customWidth="1"/>
    <col min="15936" max="15936" width="9.375" style="279" customWidth="1"/>
    <col min="15937" max="15937" width="4" style="279" customWidth="1"/>
    <col min="15938" max="15938" width="5.875" style="279" customWidth="1"/>
    <col min="15939" max="15939" width="9.375" style="279" customWidth="1"/>
    <col min="15940" max="15940" width="11.25" style="279" customWidth="1"/>
    <col min="15941" max="16160" width="9" style="279"/>
    <col min="16161" max="16161" width="6" style="279" customWidth="1"/>
    <col min="16162" max="16163" width="9.375" style="279" customWidth="1"/>
    <col min="16164" max="16164" width="3.625" style="279" customWidth="1"/>
    <col min="16165" max="16165" width="5.875" style="279" customWidth="1"/>
    <col min="16166" max="16166" width="10.125" style="279" customWidth="1"/>
    <col min="16167" max="16167" width="9.375" style="279" customWidth="1"/>
    <col min="16168" max="16168" width="3.625" style="279" customWidth="1"/>
    <col min="16169" max="16169" width="5.875" style="279" customWidth="1"/>
    <col min="16170" max="16171" width="9.375" style="279" customWidth="1"/>
    <col min="16172" max="16184" width="0" style="279" hidden="1" customWidth="1"/>
    <col min="16185" max="16185" width="1.75" style="279" customWidth="1"/>
    <col min="16186" max="16186" width="6.375" style="279" customWidth="1"/>
    <col min="16187" max="16188" width="9.375" style="279" customWidth="1"/>
    <col min="16189" max="16189" width="4.125" style="279" customWidth="1"/>
    <col min="16190" max="16190" width="5.875" style="279" customWidth="1"/>
    <col min="16191" max="16191" width="10.125" style="279" customWidth="1"/>
    <col min="16192" max="16192" width="9.375" style="279" customWidth="1"/>
    <col min="16193" max="16193" width="4" style="279" customWidth="1"/>
    <col min="16194" max="16194" width="5.875" style="279" customWidth="1"/>
    <col min="16195" max="16195" width="9.375" style="279" customWidth="1"/>
    <col min="16196" max="16196" width="11.25" style="279" customWidth="1"/>
    <col min="16197" max="16384" width="9" style="279"/>
  </cols>
  <sheetData>
    <row r="1" spans="1:68" ht="23.25">
      <c r="A1" s="251"/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1732" t="s">
        <v>469</v>
      </c>
      <c r="N1" s="1732"/>
      <c r="O1" s="1732"/>
      <c r="P1" s="1732"/>
      <c r="Q1" s="1732"/>
      <c r="R1" s="1732"/>
      <c r="S1" s="1732"/>
      <c r="T1" s="1732"/>
      <c r="U1" s="1732"/>
      <c r="V1" s="1732"/>
      <c r="W1" s="1732"/>
      <c r="X1" s="1732"/>
      <c r="Y1" s="1732"/>
      <c r="Z1" s="1732"/>
      <c r="AA1" s="1732"/>
      <c r="AB1" s="1732"/>
      <c r="AC1" s="1732"/>
      <c r="AD1" s="1732"/>
      <c r="AE1" s="1732"/>
      <c r="AF1" s="1732"/>
      <c r="AG1" s="1732"/>
      <c r="AH1" s="1732"/>
      <c r="AI1" s="1732"/>
      <c r="AJ1" s="1732"/>
      <c r="AK1" s="1732"/>
      <c r="AL1" s="1732"/>
      <c r="AM1" s="1732"/>
      <c r="AN1" s="1732"/>
      <c r="AO1" s="1732"/>
      <c r="AP1" s="1732"/>
      <c r="AQ1" s="1732"/>
      <c r="AR1" s="1732"/>
      <c r="AS1" s="1732"/>
      <c r="AT1" s="1732"/>
      <c r="AU1" s="1732"/>
      <c r="AV1" s="1732"/>
      <c r="AW1" s="1732"/>
      <c r="AX1" s="1732"/>
      <c r="AY1" s="1732"/>
      <c r="AZ1" s="1732"/>
      <c r="BA1" s="1732"/>
      <c r="BB1" s="1732"/>
      <c r="BC1" s="1732"/>
      <c r="BD1" s="1732"/>
      <c r="BE1" s="1732"/>
      <c r="BF1" s="1732"/>
      <c r="BG1" s="1732"/>
      <c r="BH1" s="1732"/>
      <c r="BI1" s="1732"/>
      <c r="BJ1" s="1732"/>
      <c r="BK1" s="1732"/>
      <c r="BL1" s="251"/>
    </row>
    <row r="2" spans="1:68" ht="23.25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1732" t="s">
        <v>470</v>
      </c>
      <c r="N2" s="1732"/>
      <c r="O2" s="1732"/>
      <c r="P2" s="1732"/>
      <c r="Q2" s="1732"/>
      <c r="R2" s="1732"/>
      <c r="S2" s="1732"/>
      <c r="T2" s="1732"/>
      <c r="U2" s="1732"/>
      <c r="V2" s="1732"/>
      <c r="W2" s="1732"/>
      <c r="X2" s="1732"/>
      <c r="Y2" s="1732"/>
      <c r="Z2" s="1732"/>
      <c r="AA2" s="1732"/>
      <c r="AB2" s="1732"/>
      <c r="AC2" s="1732"/>
      <c r="AD2" s="1732"/>
      <c r="AE2" s="1732"/>
      <c r="AF2" s="1732"/>
      <c r="AG2" s="1732"/>
      <c r="AH2" s="1732"/>
      <c r="AI2" s="1732"/>
      <c r="AJ2" s="1732"/>
      <c r="AK2" s="1732"/>
      <c r="AL2" s="1732"/>
      <c r="AM2" s="1732"/>
      <c r="AN2" s="1732"/>
      <c r="AO2" s="1732"/>
      <c r="AP2" s="1732"/>
      <c r="AQ2" s="1732"/>
      <c r="AR2" s="1732"/>
      <c r="AS2" s="1732"/>
      <c r="AT2" s="1732"/>
      <c r="AU2" s="1732"/>
      <c r="AV2" s="1732"/>
      <c r="AW2" s="1732"/>
      <c r="AX2" s="1732"/>
      <c r="AY2" s="1732"/>
      <c r="AZ2" s="1732"/>
      <c r="BA2" s="1732"/>
      <c r="BB2" s="1732"/>
      <c r="BC2" s="1732"/>
      <c r="BD2" s="1732"/>
      <c r="BE2" s="1732"/>
      <c r="BF2" s="1732"/>
      <c r="BG2" s="1732"/>
      <c r="BH2" s="1732"/>
      <c r="BI2" s="1732"/>
      <c r="BJ2" s="1732"/>
      <c r="BK2" s="1732"/>
      <c r="BL2" s="251"/>
    </row>
    <row r="3" spans="1:68" ht="23.25">
      <c r="A3" s="251"/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1732" t="s">
        <v>1714</v>
      </c>
      <c r="N3" s="1732"/>
      <c r="O3" s="1732"/>
      <c r="P3" s="1732"/>
      <c r="Q3" s="1732"/>
      <c r="R3" s="1732"/>
      <c r="S3" s="1732"/>
      <c r="T3" s="1732"/>
      <c r="U3" s="1732"/>
      <c r="V3" s="1732"/>
      <c r="W3" s="1732"/>
      <c r="X3" s="1732"/>
      <c r="Y3" s="1732"/>
      <c r="Z3" s="1732"/>
      <c r="AA3" s="1732"/>
      <c r="AB3" s="1732"/>
      <c r="AC3" s="1732"/>
      <c r="AD3" s="1732"/>
      <c r="AE3" s="1732"/>
      <c r="AF3" s="1732"/>
      <c r="AG3" s="1732"/>
      <c r="AH3" s="1732"/>
      <c r="AI3" s="1732"/>
      <c r="AJ3" s="1732"/>
      <c r="AK3" s="1732"/>
      <c r="AL3" s="1732"/>
      <c r="AM3" s="1732"/>
      <c r="AN3" s="1732"/>
      <c r="AO3" s="1732"/>
      <c r="AP3" s="1732"/>
      <c r="AQ3" s="1732"/>
      <c r="AR3" s="1732"/>
      <c r="AS3" s="1732"/>
      <c r="AT3" s="1732"/>
      <c r="AU3" s="1732"/>
      <c r="AV3" s="1732"/>
      <c r="AW3" s="1732"/>
      <c r="AX3" s="1732"/>
      <c r="AY3" s="1732"/>
      <c r="AZ3" s="1732"/>
      <c r="BA3" s="1732"/>
      <c r="BB3" s="1732"/>
      <c r="BC3" s="1732"/>
      <c r="BD3" s="1732"/>
      <c r="BE3" s="1732"/>
      <c r="BF3" s="1732"/>
      <c r="BG3" s="1732"/>
      <c r="BH3" s="1732"/>
      <c r="BI3" s="1732"/>
      <c r="BJ3" s="1732"/>
      <c r="BK3" s="1732"/>
      <c r="BL3" s="251"/>
    </row>
    <row r="4" spans="1:68" ht="24">
      <c r="A4" s="1729" t="str">
        <f>"ราคาน้ำมัน ณ อำเภอเมืองพัทลุง"</f>
        <v>ราคาน้ำมัน ณ อำเภอเมืองพัทลุง</v>
      </c>
      <c r="B4" s="1729"/>
      <c r="C4" s="1729"/>
      <c r="D4" s="254"/>
      <c r="E4" s="1733" t="s">
        <v>1959</v>
      </c>
      <c r="F4" s="1733"/>
      <c r="G4" s="1733"/>
      <c r="H4" s="1399"/>
      <c r="I4" s="1733" t="s">
        <v>1960</v>
      </c>
      <c r="J4" s="1733"/>
      <c r="K4" s="1733"/>
      <c r="L4" s="1347"/>
      <c r="M4" s="1730" t="s">
        <v>1815</v>
      </c>
      <c r="N4" s="1730"/>
      <c r="O4" s="1730"/>
      <c r="P4" s="518"/>
      <c r="Q4" s="1730" t="s">
        <v>1814</v>
      </c>
      <c r="R4" s="1730"/>
      <c r="S4" s="1730"/>
      <c r="T4" s="518"/>
      <c r="U4" s="1730" t="s">
        <v>1813</v>
      </c>
      <c r="V4" s="1730"/>
      <c r="W4" s="1730"/>
      <c r="X4" s="518"/>
      <c r="Y4" s="1730" t="s">
        <v>1812</v>
      </c>
      <c r="Z4" s="1730"/>
      <c r="AA4" s="1730"/>
      <c r="AB4" s="518"/>
      <c r="AC4" s="1730" t="s">
        <v>1811</v>
      </c>
      <c r="AD4" s="1730"/>
      <c r="AE4" s="1730"/>
      <c r="AF4" s="518"/>
      <c r="AG4" s="1730" t="s">
        <v>1775</v>
      </c>
      <c r="AH4" s="1730"/>
      <c r="AI4" s="1730"/>
      <c r="AJ4" s="254"/>
      <c r="AK4" s="1730" t="s">
        <v>1776</v>
      </c>
      <c r="AL4" s="1730"/>
      <c r="AM4" s="1730"/>
      <c r="AN4" s="254"/>
      <c r="AO4" s="1730" t="s">
        <v>1774</v>
      </c>
      <c r="AP4" s="1730"/>
      <c r="AQ4" s="1730"/>
      <c r="AR4" s="254"/>
      <c r="AS4" s="1730" t="s">
        <v>1771</v>
      </c>
      <c r="AT4" s="1730"/>
      <c r="AU4" s="1730"/>
      <c r="AV4" s="254"/>
      <c r="AW4" s="1730" t="s">
        <v>1713</v>
      </c>
      <c r="AX4" s="1730"/>
      <c r="AY4" s="1730"/>
      <c r="AZ4" s="254"/>
      <c r="BA4" s="1730" t="s">
        <v>1711</v>
      </c>
      <c r="BB4" s="1730"/>
      <c r="BC4" s="1730"/>
      <c r="BD4" s="254"/>
      <c r="BE4" s="1730" t="s">
        <v>1772</v>
      </c>
      <c r="BF4" s="1730"/>
      <c r="BG4" s="1730"/>
      <c r="BH4" s="254"/>
      <c r="BI4" s="1730" t="s">
        <v>1773</v>
      </c>
      <c r="BJ4" s="1730"/>
      <c r="BK4" s="1730"/>
      <c r="BL4" s="254"/>
    </row>
    <row r="5" spans="1:68" ht="24">
      <c r="A5" s="1729" t="s">
        <v>1712</v>
      </c>
      <c r="B5" s="1729"/>
      <c r="C5" s="255">
        <f>เปรียบเทียบราคาวัสดุ!C3</f>
        <v>22.5</v>
      </c>
      <c r="D5" s="254"/>
      <c r="E5" s="1733" t="s">
        <v>1712</v>
      </c>
      <c r="F5" s="1733"/>
      <c r="G5" s="1405">
        <v>18.5</v>
      </c>
      <c r="H5" s="1399"/>
      <c r="I5" s="1733" t="s">
        <v>1712</v>
      </c>
      <c r="J5" s="1733"/>
      <c r="K5" s="1405">
        <v>19.5</v>
      </c>
      <c r="L5" s="1347"/>
      <c r="M5" s="1730" t="s">
        <v>1712</v>
      </c>
      <c r="N5" s="1730"/>
      <c r="O5" s="520">
        <v>20.5</v>
      </c>
      <c r="P5" s="518"/>
      <c r="Q5" s="1730" t="s">
        <v>1712</v>
      </c>
      <c r="R5" s="1730"/>
      <c r="S5" s="520">
        <v>21.5</v>
      </c>
      <c r="T5" s="518"/>
      <c r="U5" s="1730" t="s">
        <v>1712</v>
      </c>
      <c r="V5" s="1730"/>
      <c r="W5" s="520">
        <v>22.5</v>
      </c>
      <c r="X5" s="518"/>
      <c r="Y5" s="1730" t="s">
        <v>1712</v>
      </c>
      <c r="Z5" s="1730"/>
      <c r="AA5" s="520">
        <v>23.5</v>
      </c>
      <c r="AB5" s="518"/>
      <c r="AC5" s="1730" t="s">
        <v>1712</v>
      </c>
      <c r="AD5" s="1730"/>
      <c r="AE5" s="520">
        <v>24.5</v>
      </c>
      <c r="AF5" s="518"/>
      <c r="AG5" s="1730" t="s">
        <v>1712</v>
      </c>
      <c r="AH5" s="1730"/>
      <c r="AI5" s="520">
        <v>25.5</v>
      </c>
      <c r="AJ5" s="254"/>
      <c r="AK5" s="1730" t="s">
        <v>1712</v>
      </c>
      <c r="AL5" s="1730"/>
      <c r="AM5" s="520">
        <v>26.5</v>
      </c>
      <c r="AN5" s="254"/>
      <c r="AO5" s="1730" t="s">
        <v>1712</v>
      </c>
      <c r="AP5" s="1730"/>
      <c r="AQ5" s="520">
        <v>27.5</v>
      </c>
      <c r="AR5" s="254"/>
      <c r="AS5" s="1730" t="s">
        <v>1712</v>
      </c>
      <c r="AT5" s="1730"/>
      <c r="AU5" s="520">
        <v>28.5</v>
      </c>
      <c r="AV5" s="254"/>
      <c r="AW5" s="1730" t="s">
        <v>1712</v>
      </c>
      <c r="AX5" s="1730"/>
      <c r="AY5" s="520">
        <v>29.5</v>
      </c>
      <c r="AZ5" s="254"/>
      <c r="BA5" s="1730" t="s">
        <v>1712</v>
      </c>
      <c r="BB5" s="1730"/>
      <c r="BC5" s="520">
        <v>30.5</v>
      </c>
      <c r="BD5" s="254"/>
      <c r="BE5" s="1730" t="s">
        <v>1712</v>
      </c>
      <c r="BF5" s="1730"/>
      <c r="BG5" s="520">
        <v>31.5</v>
      </c>
      <c r="BH5" s="254"/>
      <c r="BI5" s="1730" t="s">
        <v>1712</v>
      </c>
      <c r="BJ5" s="1730"/>
      <c r="BK5" s="520">
        <v>32.5</v>
      </c>
      <c r="BL5" s="254"/>
    </row>
    <row r="6" spans="1:68" ht="23.25">
      <c r="A6" s="256" t="s">
        <v>466</v>
      </c>
      <c r="B6" s="256" t="s">
        <v>471</v>
      </c>
      <c r="C6" s="256" t="s">
        <v>471</v>
      </c>
      <c r="D6" s="257"/>
      <c r="E6" s="1406" t="s">
        <v>466</v>
      </c>
      <c r="F6" s="1406" t="s">
        <v>471</v>
      </c>
      <c r="G6" s="1406" t="s">
        <v>471</v>
      </c>
      <c r="H6" s="1400"/>
      <c r="I6" s="1406" t="s">
        <v>466</v>
      </c>
      <c r="J6" s="1406" t="s">
        <v>471</v>
      </c>
      <c r="K6" s="1406" t="s">
        <v>471</v>
      </c>
      <c r="L6" s="257"/>
      <c r="M6" s="521" t="s">
        <v>466</v>
      </c>
      <c r="N6" s="521" t="s">
        <v>471</v>
      </c>
      <c r="O6" s="521" t="s">
        <v>471</v>
      </c>
      <c r="P6" s="257"/>
      <c r="Q6" s="521" t="s">
        <v>466</v>
      </c>
      <c r="R6" s="521" t="s">
        <v>471</v>
      </c>
      <c r="S6" s="521" t="s">
        <v>471</v>
      </c>
      <c r="T6" s="257"/>
      <c r="U6" s="521" t="s">
        <v>466</v>
      </c>
      <c r="V6" s="521" t="s">
        <v>471</v>
      </c>
      <c r="W6" s="521" t="s">
        <v>471</v>
      </c>
      <c r="X6" s="257"/>
      <c r="Y6" s="521" t="s">
        <v>466</v>
      </c>
      <c r="Z6" s="521" t="s">
        <v>471</v>
      </c>
      <c r="AA6" s="521" t="s">
        <v>471</v>
      </c>
      <c r="AB6" s="257"/>
      <c r="AC6" s="521" t="s">
        <v>466</v>
      </c>
      <c r="AD6" s="521" t="s">
        <v>471</v>
      </c>
      <c r="AE6" s="521" t="s">
        <v>471</v>
      </c>
      <c r="AF6" s="257"/>
      <c r="AG6" s="521" t="s">
        <v>466</v>
      </c>
      <c r="AH6" s="521" t="s">
        <v>471</v>
      </c>
      <c r="AI6" s="521" t="s">
        <v>471</v>
      </c>
      <c r="AJ6" s="257"/>
      <c r="AK6" s="521" t="s">
        <v>466</v>
      </c>
      <c r="AL6" s="521" t="s">
        <v>471</v>
      </c>
      <c r="AM6" s="521" t="s">
        <v>471</v>
      </c>
      <c r="AN6" s="257"/>
      <c r="AO6" s="521" t="s">
        <v>466</v>
      </c>
      <c r="AP6" s="521" t="s">
        <v>471</v>
      </c>
      <c r="AQ6" s="521" t="s">
        <v>471</v>
      </c>
      <c r="AR6" s="257"/>
      <c r="AS6" s="521" t="s">
        <v>466</v>
      </c>
      <c r="AT6" s="521" t="s">
        <v>471</v>
      </c>
      <c r="AU6" s="521" t="s">
        <v>471</v>
      </c>
      <c r="AV6" s="257"/>
      <c r="AW6" s="521" t="s">
        <v>466</v>
      </c>
      <c r="AX6" s="521" t="s">
        <v>471</v>
      </c>
      <c r="AY6" s="521" t="s">
        <v>471</v>
      </c>
      <c r="AZ6" s="257"/>
      <c r="BA6" s="521" t="s">
        <v>466</v>
      </c>
      <c r="BB6" s="521" t="s">
        <v>471</v>
      </c>
      <c r="BC6" s="521" t="s">
        <v>471</v>
      </c>
      <c r="BD6" s="257"/>
      <c r="BE6" s="521" t="s">
        <v>466</v>
      </c>
      <c r="BF6" s="521" t="s">
        <v>471</v>
      </c>
      <c r="BG6" s="521" t="s">
        <v>471</v>
      </c>
      <c r="BH6" s="257"/>
      <c r="BI6" s="521" t="s">
        <v>466</v>
      </c>
      <c r="BJ6" s="521" t="s">
        <v>471</v>
      </c>
      <c r="BK6" s="521" t="s">
        <v>471</v>
      </c>
      <c r="BL6" s="257"/>
      <c r="BP6" s="280"/>
    </row>
    <row r="7" spans="1:68" ht="23.25">
      <c r="A7" s="258" t="s">
        <v>472</v>
      </c>
      <c r="B7" s="259"/>
      <c r="C7" s="259"/>
      <c r="D7" s="257"/>
      <c r="E7" s="1407" t="s">
        <v>472</v>
      </c>
      <c r="F7" s="1408"/>
      <c r="G7" s="1408"/>
      <c r="H7" s="1400"/>
      <c r="I7" s="1407" t="s">
        <v>472</v>
      </c>
      <c r="J7" s="1408"/>
      <c r="K7" s="1408"/>
      <c r="L7" s="257"/>
      <c r="M7" s="522" t="s">
        <v>472</v>
      </c>
      <c r="N7" s="523"/>
      <c r="O7" s="523"/>
      <c r="P7" s="257"/>
      <c r="Q7" s="522" t="s">
        <v>472</v>
      </c>
      <c r="R7" s="523"/>
      <c r="S7" s="523"/>
      <c r="T7" s="257"/>
      <c r="U7" s="522" t="s">
        <v>472</v>
      </c>
      <c r="V7" s="523"/>
      <c r="W7" s="523"/>
      <c r="X7" s="257"/>
      <c r="Y7" s="522" t="s">
        <v>472</v>
      </c>
      <c r="Z7" s="523"/>
      <c r="AA7" s="523"/>
      <c r="AB7" s="257"/>
      <c r="AC7" s="522" t="s">
        <v>472</v>
      </c>
      <c r="AD7" s="523"/>
      <c r="AE7" s="523"/>
      <c r="AF7" s="257"/>
      <c r="AG7" s="522" t="s">
        <v>472</v>
      </c>
      <c r="AH7" s="523"/>
      <c r="AI7" s="523"/>
      <c r="AJ7" s="257"/>
      <c r="AK7" s="522" t="s">
        <v>472</v>
      </c>
      <c r="AL7" s="523"/>
      <c r="AM7" s="523"/>
      <c r="AN7" s="257"/>
      <c r="AO7" s="522" t="s">
        <v>472</v>
      </c>
      <c r="AP7" s="523"/>
      <c r="AQ7" s="523"/>
      <c r="AR7" s="257"/>
      <c r="AS7" s="522" t="s">
        <v>472</v>
      </c>
      <c r="AT7" s="523"/>
      <c r="AU7" s="523"/>
      <c r="AV7" s="257"/>
      <c r="AW7" s="522" t="s">
        <v>472</v>
      </c>
      <c r="AX7" s="523"/>
      <c r="AY7" s="523"/>
      <c r="AZ7" s="257"/>
      <c r="BA7" s="522" t="s">
        <v>472</v>
      </c>
      <c r="BB7" s="523"/>
      <c r="BC7" s="523"/>
      <c r="BD7" s="257"/>
      <c r="BE7" s="522" t="s">
        <v>472</v>
      </c>
      <c r="BF7" s="523"/>
      <c r="BG7" s="523"/>
      <c r="BH7" s="257"/>
      <c r="BI7" s="522" t="s">
        <v>472</v>
      </c>
      <c r="BJ7" s="523"/>
      <c r="BK7" s="523"/>
      <c r="BL7" s="257"/>
      <c r="BP7" s="280"/>
    </row>
    <row r="8" spans="1:68" ht="23.25">
      <c r="A8" s="260" t="s">
        <v>181</v>
      </c>
      <c r="B8" s="260" t="s">
        <v>473</v>
      </c>
      <c r="C8" s="260" t="s">
        <v>474</v>
      </c>
      <c r="D8" s="257"/>
      <c r="E8" s="1409" t="s">
        <v>181</v>
      </c>
      <c r="F8" s="1409" t="s">
        <v>473</v>
      </c>
      <c r="G8" s="1407" t="s">
        <v>474</v>
      </c>
      <c r="H8" s="1400"/>
      <c r="I8" s="1409" t="s">
        <v>181</v>
      </c>
      <c r="J8" s="1409" t="s">
        <v>473</v>
      </c>
      <c r="K8" s="1407" t="s">
        <v>474</v>
      </c>
      <c r="L8" s="257"/>
      <c r="M8" s="524" t="s">
        <v>181</v>
      </c>
      <c r="N8" s="524" t="s">
        <v>473</v>
      </c>
      <c r="O8" s="522" t="s">
        <v>474</v>
      </c>
      <c r="P8" s="257"/>
      <c r="Q8" s="524" t="s">
        <v>181</v>
      </c>
      <c r="R8" s="524" t="s">
        <v>473</v>
      </c>
      <c r="S8" s="522" t="s">
        <v>474</v>
      </c>
      <c r="T8" s="257"/>
      <c r="U8" s="524" t="s">
        <v>181</v>
      </c>
      <c r="V8" s="524" t="s">
        <v>473</v>
      </c>
      <c r="W8" s="522" t="s">
        <v>474</v>
      </c>
      <c r="X8" s="257"/>
      <c r="Y8" s="524" t="s">
        <v>181</v>
      </c>
      <c r="Z8" s="524" t="s">
        <v>473</v>
      </c>
      <c r="AA8" s="522" t="s">
        <v>474</v>
      </c>
      <c r="AB8" s="257"/>
      <c r="AC8" s="524" t="s">
        <v>181</v>
      </c>
      <c r="AD8" s="524" t="s">
        <v>473</v>
      </c>
      <c r="AE8" s="522" t="s">
        <v>474</v>
      </c>
      <c r="AF8" s="257"/>
      <c r="AG8" s="524" t="s">
        <v>181</v>
      </c>
      <c r="AH8" s="524" t="s">
        <v>473</v>
      </c>
      <c r="AI8" s="522" t="s">
        <v>474</v>
      </c>
      <c r="AJ8" s="257"/>
      <c r="AK8" s="524" t="s">
        <v>181</v>
      </c>
      <c r="AL8" s="524" t="s">
        <v>473</v>
      </c>
      <c r="AM8" s="522" t="s">
        <v>474</v>
      </c>
      <c r="AN8" s="257"/>
      <c r="AO8" s="524" t="s">
        <v>181</v>
      </c>
      <c r="AP8" s="524" t="s">
        <v>473</v>
      </c>
      <c r="AQ8" s="522" t="s">
        <v>474</v>
      </c>
      <c r="AR8" s="257"/>
      <c r="AS8" s="524" t="s">
        <v>181</v>
      </c>
      <c r="AT8" s="524" t="s">
        <v>473</v>
      </c>
      <c r="AU8" s="522" t="s">
        <v>474</v>
      </c>
      <c r="AV8" s="257"/>
      <c r="AW8" s="524" t="s">
        <v>181</v>
      </c>
      <c r="AX8" s="524" t="s">
        <v>473</v>
      </c>
      <c r="AY8" s="522" t="s">
        <v>474</v>
      </c>
      <c r="AZ8" s="257"/>
      <c r="BA8" s="524" t="s">
        <v>181</v>
      </c>
      <c r="BB8" s="524" t="s">
        <v>473</v>
      </c>
      <c r="BC8" s="522" t="s">
        <v>474</v>
      </c>
      <c r="BD8" s="257"/>
      <c r="BE8" s="524" t="s">
        <v>181</v>
      </c>
      <c r="BF8" s="524" t="s">
        <v>473</v>
      </c>
      <c r="BG8" s="522" t="s">
        <v>474</v>
      </c>
      <c r="BH8" s="257"/>
      <c r="BI8" s="524" t="s">
        <v>181</v>
      </c>
      <c r="BJ8" s="524" t="s">
        <v>473</v>
      </c>
      <c r="BK8" s="522" t="s">
        <v>474</v>
      </c>
      <c r="BL8" s="257"/>
      <c r="BP8" s="280"/>
    </row>
    <row r="9" spans="1:68" ht="23.25">
      <c r="A9" s="267">
        <v>1</v>
      </c>
      <c r="B9" s="1433">
        <f>IF($C$5=$G$5,F9,IF($C$5=$K$5,J9,IF($C$5=$O$5,N9,IF($C$5=$S$5,R9,IF($C$5=$W$5,V9,IF($C$5=$AA$5,Z9,IF($C$5=$AE$5,AD9,IF($C$5=$AI$5,AH9,IF($C$5=$AM$5,AL9,IF($C$5=$AQ$5,AP9,IF($C$5=$AU$5,AT9,IF($C$5=$AY$5,AX9,IF($C$5=$BC$5,BB9,IF($C$5=$BG$5,BF9,IF($C$5=$BK$5,BJ9,0)))))))))))))))</f>
        <v>4.3</v>
      </c>
      <c r="C9" s="1434">
        <f>IF($C$5=$G$5,G9,IF($C$5=$K$5,K9,IF($C$5=$O$5,O9,IF($C$5=$S$5,S9,IF($C$5=$W$5,W9,IF($C$5=$AA$5,AA9,IF($C$5=$AE$5,AE9,IF($C$5=$AI$5,AI9,IF($C$5=$AM$5,AM9,IF($C$5=$AQ$5,AQ9,IF($C$5=$AU$5,AU9,IF($C$5=$AY$5,AY9,IF($C$5=$BC$5,BC9,IF($C$5=$BG$5,BG9,IF($C$5=$BK$5,BK9,0)))))))))))))))</f>
        <v>6.01</v>
      </c>
      <c r="D9" s="262"/>
      <c r="E9" s="1410">
        <v>1</v>
      </c>
      <c r="F9" s="1411">
        <v>4.1900000000000004</v>
      </c>
      <c r="G9" s="1412">
        <v>5.87</v>
      </c>
      <c r="H9" s="1401"/>
      <c r="I9" s="1410">
        <v>1</v>
      </c>
      <c r="J9" s="1411">
        <v>4.22</v>
      </c>
      <c r="K9" s="1412">
        <v>5.91</v>
      </c>
      <c r="L9" s="262"/>
      <c r="M9" s="525">
        <v>1</v>
      </c>
      <c r="N9" s="569">
        <v>4.24</v>
      </c>
      <c r="O9" s="570">
        <v>5.94</v>
      </c>
      <c r="P9" s="262"/>
      <c r="Q9" s="525">
        <v>1</v>
      </c>
      <c r="R9" s="569">
        <v>4.2699999999999996</v>
      </c>
      <c r="S9" s="570">
        <v>5.98</v>
      </c>
      <c r="T9" s="262"/>
      <c r="U9" s="525">
        <v>1</v>
      </c>
      <c r="V9" s="569">
        <v>4.3</v>
      </c>
      <c r="W9" s="570">
        <v>6.01</v>
      </c>
      <c r="X9" s="262"/>
      <c r="Y9" s="525">
        <v>1</v>
      </c>
      <c r="Z9" s="526">
        <v>4.32</v>
      </c>
      <c r="AA9" s="527">
        <v>6.05</v>
      </c>
      <c r="AB9" s="262"/>
      <c r="AC9" s="525">
        <v>1</v>
      </c>
      <c r="AD9" s="526">
        <v>4.3499999999999996</v>
      </c>
      <c r="AE9" s="527">
        <v>6.09</v>
      </c>
      <c r="AF9" s="262"/>
      <c r="AG9" s="525">
        <v>1</v>
      </c>
      <c r="AH9" s="526">
        <v>4.37</v>
      </c>
      <c r="AI9" s="527">
        <v>3.12</v>
      </c>
      <c r="AJ9" s="262"/>
      <c r="AK9" s="525">
        <v>1</v>
      </c>
      <c r="AL9" s="526">
        <v>4.4000000000000004</v>
      </c>
      <c r="AM9" s="527">
        <v>6.16</v>
      </c>
      <c r="AN9" s="262"/>
      <c r="AO9" s="525">
        <v>1</v>
      </c>
      <c r="AP9" s="526">
        <v>4.42</v>
      </c>
      <c r="AQ9" s="527">
        <v>60.19</v>
      </c>
      <c r="AR9" s="262"/>
      <c r="AS9" s="525">
        <v>1</v>
      </c>
      <c r="AT9" s="526">
        <v>4.45</v>
      </c>
      <c r="AU9" s="527">
        <v>6.23</v>
      </c>
      <c r="AV9" s="262"/>
      <c r="AW9" s="525">
        <v>1</v>
      </c>
      <c r="AX9" s="526">
        <v>4.4800000000000004</v>
      </c>
      <c r="AY9" s="527">
        <v>6.27</v>
      </c>
      <c r="AZ9" s="262"/>
      <c r="BA9" s="525">
        <v>1</v>
      </c>
      <c r="BB9" s="526">
        <v>4.5</v>
      </c>
      <c r="BC9" s="527">
        <v>6.3</v>
      </c>
      <c r="BD9" s="262"/>
      <c r="BE9" s="525">
        <v>1</v>
      </c>
      <c r="BF9" s="526">
        <v>4.53</v>
      </c>
      <c r="BG9" s="527">
        <v>6.34</v>
      </c>
      <c r="BH9" s="262"/>
      <c r="BI9" s="525">
        <v>1</v>
      </c>
      <c r="BJ9" s="526">
        <v>4.55</v>
      </c>
      <c r="BK9" s="527">
        <v>6.37</v>
      </c>
      <c r="BL9" s="262"/>
      <c r="BP9" s="280"/>
    </row>
    <row r="10" spans="1:68" ht="23.25">
      <c r="A10" s="269">
        <v>2</v>
      </c>
      <c r="B10" s="1437">
        <f t="shared" ref="B10:B73" si="0">IF($C$5=$G$5,F10,IF($C$5=$K$5,J10,IF($C$5=$O$5,N10,IF($C$5=$S$5,R10,IF($C$5=$W$5,V10,IF($C$5=$AA$5,Z10,IF($C$5=$AE$5,AD10,IF($C$5=$AI$5,AH10,IF($C$5=$AM$5,AL10,IF($C$5=$AQ$5,AP10,IF($C$5=$AU$5,AT10,IF($C$5=$AY$5,AX10,IF($C$5=$BC$5,BB10,IF($C$5=$BG$5,BF10,IF($C$5=$BK$5,BJ10,0)))))))))))))))</f>
        <v>5.48</v>
      </c>
      <c r="C10" s="1438">
        <f t="shared" ref="C10:C73" si="1">IF($C$5=$G$5,G10,IF($C$5=$K$5,K10,IF($C$5=$O$5,O10,IF($C$5=$S$5,S10,IF($C$5=$W$5,W10,IF($C$5=$AA$5,AA10,IF($C$5=$AE$5,AE10,IF($C$5=$AI$5,AI10,IF($C$5=$AM$5,AM10,IF($C$5=$AQ$5,AQ10,IF($C$5=$AU$5,AU10,IF($C$5=$AY$5,AY10,IF($C$5=$BC$5,BC10,IF($C$5=$BG$5,BG10,IF($C$5=$BK$5,BK10,0)))))))))))))))</f>
        <v>7.67</v>
      </c>
      <c r="D10" s="262"/>
      <c r="E10" s="1413">
        <v>2</v>
      </c>
      <c r="F10" s="1411">
        <v>5.27</v>
      </c>
      <c r="G10" s="1414">
        <v>7.38</v>
      </c>
      <c r="H10" s="1401"/>
      <c r="I10" s="1413">
        <v>2</v>
      </c>
      <c r="J10" s="1411">
        <v>5.32</v>
      </c>
      <c r="K10" s="1414">
        <v>7.45</v>
      </c>
      <c r="L10" s="262"/>
      <c r="M10" s="528">
        <v>2</v>
      </c>
      <c r="N10" s="569">
        <v>5.37</v>
      </c>
      <c r="O10" s="569">
        <v>7.52</v>
      </c>
      <c r="P10" s="262"/>
      <c r="Q10" s="528">
        <v>2</v>
      </c>
      <c r="R10" s="569">
        <v>5.42</v>
      </c>
      <c r="S10" s="569">
        <v>7.59</v>
      </c>
      <c r="T10" s="262"/>
      <c r="U10" s="528">
        <v>2</v>
      </c>
      <c r="V10" s="569">
        <v>5.48</v>
      </c>
      <c r="W10" s="569">
        <v>7.67</v>
      </c>
      <c r="X10" s="262"/>
      <c r="Y10" s="528">
        <v>2</v>
      </c>
      <c r="Z10" s="526">
        <v>5.53</v>
      </c>
      <c r="AA10" s="529">
        <v>7.74</v>
      </c>
      <c r="AB10" s="262"/>
      <c r="AC10" s="528">
        <v>2</v>
      </c>
      <c r="AD10" s="526">
        <v>5.58</v>
      </c>
      <c r="AE10" s="529">
        <v>7.81</v>
      </c>
      <c r="AF10" s="262"/>
      <c r="AG10" s="528">
        <v>2</v>
      </c>
      <c r="AH10" s="526">
        <v>5.63</v>
      </c>
      <c r="AI10" s="529">
        <v>7.88</v>
      </c>
      <c r="AJ10" s="262"/>
      <c r="AK10" s="528">
        <v>2</v>
      </c>
      <c r="AL10" s="526">
        <v>5.68</v>
      </c>
      <c r="AM10" s="529">
        <v>7.95</v>
      </c>
      <c r="AN10" s="262"/>
      <c r="AO10" s="528">
        <v>2</v>
      </c>
      <c r="AP10" s="526">
        <v>5.73</v>
      </c>
      <c r="AQ10" s="529">
        <v>8.0299999999999994</v>
      </c>
      <c r="AR10" s="262"/>
      <c r="AS10" s="528">
        <v>2</v>
      </c>
      <c r="AT10" s="526">
        <v>5.78</v>
      </c>
      <c r="AU10" s="529">
        <v>8.1</v>
      </c>
      <c r="AV10" s="262"/>
      <c r="AW10" s="528">
        <v>2</v>
      </c>
      <c r="AX10" s="526">
        <v>5.84</v>
      </c>
      <c r="AY10" s="529">
        <v>8.17</v>
      </c>
      <c r="AZ10" s="262"/>
      <c r="BA10" s="528">
        <v>2</v>
      </c>
      <c r="BB10" s="526">
        <v>5.89</v>
      </c>
      <c r="BC10" s="529">
        <v>8.24</v>
      </c>
      <c r="BD10" s="262"/>
      <c r="BE10" s="528">
        <v>2</v>
      </c>
      <c r="BF10" s="526">
        <v>5.94</v>
      </c>
      <c r="BG10" s="529">
        <v>8.31</v>
      </c>
      <c r="BH10" s="262"/>
      <c r="BI10" s="528">
        <v>2</v>
      </c>
      <c r="BJ10" s="526">
        <v>5.99</v>
      </c>
      <c r="BK10" s="529">
        <v>8.3699999999999992</v>
      </c>
      <c r="BL10" s="262"/>
      <c r="BP10" s="280"/>
    </row>
    <row r="11" spans="1:68" ht="23.25">
      <c r="A11" s="269">
        <v>3</v>
      </c>
      <c r="B11" s="1437">
        <f t="shared" si="0"/>
        <v>6.65</v>
      </c>
      <c r="C11" s="1438">
        <f t="shared" si="1"/>
        <v>9.32</v>
      </c>
      <c r="D11" s="262"/>
      <c r="E11" s="1413">
        <v>3</v>
      </c>
      <c r="F11" s="1411">
        <v>6.35</v>
      </c>
      <c r="G11" s="1414">
        <v>8.8800000000000008</v>
      </c>
      <c r="H11" s="1401"/>
      <c r="I11" s="1413">
        <v>3</v>
      </c>
      <c r="J11" s="1411">
        <v>6.42</v>
      </c>
      <c r="K11" s="1414">
        <v>8.99</v>
      </c>
      <c r="L11" s="262"/>
      <c r="M11" s="528">
        <v>3</v>
      </c>
      <c r="N11" s="569">
        <v>6.5</v>
      </c>
      <c r="O11" s="569">
        <v>9.1</v>
      </c>
      <c r="P11" s="262"/>
      <c r="Q11" s="528">
        <v>3</v>
      </c>
      <c r="R11" s="569">
        <v>6.58</v>
      </c>
      <c r="S11" s="569">
        <v>9.2100000000000009</v>
      </c>
      <c r="T11" s="262"/>
      <c r="U11" s="528">
        <v>3</v>
      </c>
      <c r="V11" s="569">
        <v>6.65</v>
      </c>
      <c r="W11" s="569">
        <v>9.32</v>
      </c>
      <c r="X11" s="262"/>
      <c r="Y11" s="528">
        <v>3</v>
      </c>
      <c r="Z11" s="526">
        <v>6.73</v>
      </c>
      <c r="AA11" s="529">
        <v>9.42</v>
      </c>
      <c r="AB11" s="262"/>
      <c r="AC11" s="528">
        <v>3</v>
      </c>
      <c r="AD11" s="526">
        <v>6.81</v>
      </c>
      <c r="AE11" s="529">
        <v>9.5299999999999994</v>
      </c>
      <c r="AF11" s="262"/>
      <c r="AG11" s="528">
        <v>3</v>
      </c>
      <c r="AH11" s="526">
        <v>6.89</v>
      </c>
      <c r="AI11" s="529">
        <v>9.64</v>
      </c>
      <c r="AJ11" s="262"/>
      <c r="AK11" s="528">
        <v>3</v>
      </c>
      <c r="AL11" s="526">
        <v>6.96</v>
      </c>
      <c r="AM11" s="529">
        <v>9.75</v>
      </c>
      <c r="AN11" s="262"/>
      <c r="AO11" s="528">
        <v>3</v>
      </c>
      <c r="AP11" s="526">
        <v>7.04</v>
      </c>
      <c r="AQ11" s="529">
        <v>9.86</v>
      </c>
      <c r="AR11" s="262"/>
      <c r="AS11" s="528">
        <v>3</v>
      </c>
      <c r="AT11" s="526">
        <v>7.12</v>
      </c>
      <c r="AU11" s="529">
        <v>9.9600000000000009</v>
      </c>
      <c r="AV11" s="262"/>
      <c r="AW11" s="528">
        <v>3</v>
      </c>
      <c r="AX11" s="526">
        <v>7.19</v>
      </c>
      <c r="AY11" s="529">
        <v>10.07</v>
      </c>
      <c r="AZ11" s="262"/>
      <c r="BA11" s="528">
        <v>3</v>
      </c>
      <c r="BB11" s="526">
        <v>7.27</v>
      </c>
      <c r="BC11" s="529">
        <v>10.18</v>
      </c>
      <c r="BD11" s="262"/>
      <c r="BE11" s="528">
        <v>3</v>
      </c>
      <c r="BF11" s="526">
        <v>7.35</v>
      </c>
      <c r="BG11" s="529">
        <v>10.29</v>
      </c>
      <c r="BH11" s="262"/>
      <c r="BI11" s="528">
        <v>3</v>
      </c>
      <c r="BJ11" s="526">
        <v>7.43</v>
      </c>
      <c r="BK11" s="529">
        <v>10.4</v>
      </c>
      <c r="BL11" s="262"/>
      <c r="BP11" s="280"/>
    </row>
    <row r="12" spans="1:68" ht="23.25">
      <c r="A12" s="269">
        <v>4</v>
      </c>
      <c r="B12" s="1437">
        <f t="shared" si="0"/>
        <v>7.83</v>
      </c>
      <c r="C12" s="1438">
        <f t="shared" si="1"/>
        <v>10.97</v>
      </c>
      <c r="D12" s="262"/>
      <c r="E12" s="1413">
        <v>4</v>
      </c>
      <c r="F12" s="1411">
        <v>7.42</v>
      </c>
      <c r="G12" s="1414">
        <v>10.39</v>
      </c>
      <c r="H12" s="1401"/>
      <c r="I12" s="1413">
        <v>4</v>
      </c>
      <c r="J12" s="1411">
        <v>7.53</v>
      </c>
      <c r="K12" s="1414">
        <v>10.54</v>
      </c>
      <c r="L12" s="262"/>
      <c r="M12" s="528">
        <v>4</v>
      </c>
      <c r="N12" s="569">
        <v>7.63</v>
      </c>
      <c r="O12" s="569">
        <v>10.68</v>
      </c>
      <c r="P12" s="262"/>
      <c r="Q12" s="528">
        <v>4</v>
      </c>
      <c r="R12" s="569">
        <v>7.73</v>
      </c>
      <c r="S12" s="569">
        <v>10.82</v>
      </c>
      <c r="T12" s="262"/>
      <c r="U12" s="528">
        <v>4</v>
      </c>
      <c r="V12" s="569">
        <v>7.83</v>
      </c>
      <c r="W12" s="569">
        <v>10.97</v>
      </c>
      <c r="X12" s="262"/>
      <c r="Y12" s="528">
        <v>4</v>
      </c>
      <c r="Z12" s="526">
        <v>7.94</v>
      </c>
      <c r="AA12" s="529">
        <v>11.11</v>
      </c>
      <c r="AB12" s="262"/>
      <c r="AC12" s="528">
        <v>4</v>
      </c>
      <c r="AD12" s="526">
        <v>8.0399999999999991</v>
      </c>
      <c r="AE12" s="529">
        <v>11.25</v>
      </c>
      <c r="AF12" s="262"/>
      <c r="AG12" s="528">
        <v>4</v>
      </c>
      <c r="AH12" s="526">
        <v>8.14</v>
      </c>
      <c r="AI12" s="529">
        <v>11.4</v>
      </c>
      <c r="AJ12" s="262"/>
      <c r="AK12" s="528">
        <v>4</v>
      </c>
      <c r="AL12" s="526">
        <v>8.24</v>
      </c>
      <c r="AM12" s="529">
        <v>11.54</v>
      </c>
      <c r="AN12" s="262"/>
      <c r="AO12" s="528">
        <v>4</v>
      </c>
      <c r="AP12" s="526">
        <v>8.35</v>
      </c>
      <c r="AQ12" s="529">
        <v>11.69</v>
      </c>
      <c r="AR12" s="262"/>
      <c r="AS12" s="528">
        <v>4</v>
      </c>
      <c r="AT12" s="526">
        <v>8.4499999999999993</v>
      </c>
      <c r="AU12" s="529">
        <v>11.83</v>
      </c>
      <c r="AV12" s="262"/>
      <c r="AW12" s="528">
        <v>4</v>
      </c>
      <c r="AX12" s="526">
        <v>8.5500000000000007</v>
      </c>
      <c r="AY12" s="529">
        <v>11.97</v>
      </c>
      <c r="AZ12" s="262"/>
      <c r="BA12" s="528">
        <v>4</v>
      </c>
      <c r="BB12" s="526">
        <v>8.66</v>
      </c>
      <c r="BC12" s="529">
        <v>12.12</v>
      </c>
      <c r="BD12" s="262"/>
      <c r="BE12" s="528">
        <v>4</v>
      </c>
      <c r="BF12" s="526">
        <v>8.76</v>
      </c>
      <c r="BG12" s="529">
        <v>12.26</v>
      </c>
      <c r="BH12" s="262"/>
      <c r="BI12" s="528">
        <v>4</v>
      </c>
      <c r="BJ12" s="526">
        <v>8.86</v>
      </c>
      <c r="BK12" s="529">
        <v>12.41</v>
      </c>
      <c r="BL12" s="262"/>
      <c r="BP12" s="280"/>
    </row>
    <row r="13" spans="1:68" ht="23.25">
      <c r="A13" s="269">
        <v>5</v>
      </c>
      <c r="B13" s="1437">
        <f t="shared" si="0"/>
        <v>9.01</v>
      </c>
      <c r="C13" s="1438">
        <f t="shared" si="1"/>
        <v>12.62</v>
      </c>
      <c r="D13" s="262"/>
      <c r="E13" s="1413">
        <v>5</v>
      </c>
      <c r="F13" s="1411">
        <v>88.5</v>
      </c>
      <c r="G13" s="1414">
        <v>11.9</v>
      </c>
      <c r="H13" s="1401"/>
      <c r="I13" s="1413">
        <v>5</v>
      </c>
      <c r="J13" s="1411">
        <v>8.6300000000000008</v>
      </c>
      <c r="K13" s="1414">
        <v>12.08</v>
      </c>
      <c r="L13" s="262"/>
      <c r="M13" s="528">
        <v>5</v>
      </c>
      <c r="N13" s="569">
        <v>8.75</v>
      </c>
      <c r="O13" s="569">
        <v>12.26</v>
      </c>
      <c r="P13" s="262"/>
      <c r="Q13" s="528">
        <v>5</v>
      </c>
      <c r="R13" s="569">
        <v>8.8800000000000008</v>
      </c>
      <c r="S13" s="569">
        <v>12.44</v>
      </c>
      <c r="T13" s="262"/>
      <c r="U13" s="528">
        <v>5</v>
      </c>
      <c r="V13" s="569">
        <v>9.01</v>
      </c>
      <c r="W13" s="569">
        <v>12.62</v>
      </c>
      <c r="X13" s="262"/>
      <c r="Y13" s="528">
        <v>5</v>
      </c>
      <c r="Z13" s="526">
        <v>9.14</v>
      </c>
      <c r="AA13" s="529">
        <v>12.8</v>
      </c>
      <c r="AB13" s="262"/>
      <c r="AC13" s="528">
        <v>5</v>
      </c>
      <c r="AD13" s="526">
        <v>9.27</v>
      </c>
      <c r="AE13" s="529">
        <v>12.98</v>
      </c>
      <c r="AF13" s="262"/>
      <c r="AG13" s="528">
        <v>5</v>
      </c>
      <c r="AH13" s="526">
        <v>9.4</v>
      </c>
      <c r="AI13" s="529">
        <v>13.16</v>
      </c>
      <c r="AJ13" s="262"/>
      <c r="AK13" s="528">
        <v>5</v>
      </c>
      <c r="AL13" s="526">
        <v>9.5299999999999994</v>
      </c>
      <c r="AM13" s="529">
        <v>13.34</v>
      </c>
      <c r="AN13" s="262"/>
      <c r="AO13" s="528">
        <v>5</v>
      </c>
      <c r="AP13" s="526">
        <v>9.65</v>
      </c>
      <c r="AQ13" s="529">
        <v>13.52</v>
      </c>
      <c r="AR13" s="262"/>
      <c r="AS13" s="528">
        <v>5</v>
      </c>
      <c r="AT13" s="526">
        <v>9.7799999999999994</v>
      </c>
      <c r="AU13" s="529">
        <v>13.7</v>
      </c>
      <c r="AV13" s="262"/>
      <c r="AW13" s="528">
        <v>5</v>
      </c>
      <c r="AX13" s="526">
        <v>9.91</v>
      </c>
      <c r="AY13" s="529">
        <v>13.88</v>
      </c>
      <c r="AZ13" s="262"/>
      <c r="BA13" s="528">
        <v>5</v>
      </c>
      <c r="BB13" s="526">
        <v>10.039999999999999</v>
      </c>
      <c r="BC13" s="529">
        <v>14.06</v>
      </c>
      <c r="BD13" s="262"/>
      <c r="BE13" s="528">
        <v>5</v>
      </c>
      <c r="BF13" s="526">
        <v>10.17</v>
      </c>
      <c r="BG13" s="529">
        <v>14.24</v>
      </c>
      <c r="BH13" s="262"/>
      <c r="BI13" s="528">
        <v>5</v>
      </c>
      <c r="BJ13" s="526">
        <v>10.3</v>
      </c>
      <c r="BK13" s="529">
        <v>14.42</v>
      </c>
      <c r="BL13" s="262"/>
      <c r="BP13" s="280"/>
    </row>
    <row r="14" spans="1:68" ht="23.25">
      <c r="A14" s="269">
        <v>6</v>
      </c>
      <c r="B14" s="1437">
        <f t="shared" si="0"/>
        <v>10.19</v>
      </c>
      <c r="C14" s="1438">
        <f t="shared" si="1"/>
        <v>14.27</v>
      </c>
      <c r="D14" s="262"/>
      <c r="E14" s="1413">
        <v>6</v>
      </c>
      <c r="F14" s="1411">
        <v>9.58</v>
      </c>
      <c r="G14" s="1414">
        <v>13.41</v>
      </c>
      <c r="H14" s="1401"/>
      <c r="I14" s="1413">
        <v>6</v>
      </c>
      <c r="J14" s="1411">
        <v>9.73</v>
      </c>
      <c r="K14" s="1414">
        <v>13.62</v>
      </c>
      <c r="L14" s="262"/>
      <c r="M14" s="528">
        <v>6</v>
      </c>
      <c r="N14" s="569">
        <v>9.8800000000000008</v>
      </c>
      <c r="O14" s="569">
        <v>13.84</v>
      </c>
      <c r="P14" s="262"/>
      <c r="Q14" s="528">
        <v>6</v>
      </c>
      <c r="R14" s="569">
        <v>10.039999999999999</v>
      </c>
      <c r="S14" s="569">
        <v>14.05</v>
      </c>
      <c r="T14" s="262"/>
      <c r="U14" s="528">
        <v>6</v>
      </c>
      <c r="V14" s="569">
        <v>10.19</v>
      </c>
      <c r="W14" s="569">
        <v>14.27</v>
      </c>
      <c r="X14" s="262"/>
      <c r="Y14" s="528">
        <v>6</v>
      </c>
      <c r="Z14" s="526">
        <v>10.35</v>
      </c>
      <c r="AA14" s="529">
        <v>14.49</v>
      </c>
      <c r="AB14" s="262"/>
      <c r="AC14" s="528">
        <v>6</v>
      </c>
      <c r="AD14" s="526">
        <v>10.5</v>
      </c>
      <c r="AE14" s="529">
        <v>14.7</v>
      </c>
      <c r="AF14" s="262"/>
      <c r="AG14" s="528">
        <v>6</v>
      </c>
      <c r="AH14" s="526">
        <v>10.66</v>
      </c>
      <c r="AI14" s="529">
        <v>14.92</v>
      </c>
      <c r="AJ14" s="262"/>
      <c r="AK14" s="528">
        <v>6</v>
      </c>
      <c r="AL14" s="526">
        <v>10.81</v>
      </c>
      <c r="AM14" s="529">
        <v>15.13</v>
      </c>
      <c r="AN14" s="262"/>
      <c r="AO14" s="528">
        <v>6</v>
      </c>
      <c r="AP14" s="526">
        <v>10.96</v>
      </c>
      <c r="AQ14" s="529">
        <v>15.35</v>
      </c>
      <c r="AR14" s="262"/>
      <c r="AS14" s="528">
        <v>6</v>
      </c>
      <c r="AT14" s="526">
        <v>11.12</v>
      </c>
      <c r="AU14" s="529">
        <v>15.56</v>
      </c>
      <c r="AV14" s="262"/>
      <c r="AW14" s="528">
        <v>6</v>
      </c>
      <c r="AX14" s="526">
        <v>11.27</v>
      </c>
      <c r="AY14" s="529">
        <v>15.78</v>
      </c>
      <c r="AZ14" s="262"/>
      <c r="BA14" s="528">
        <v>6</v>
      </c>
      <c r="BB14" s="526">
        <v>11.43</v>
      </c>
      <c r="BC14" s="529">
        <v>16</v>
      </c>
      <c r="BD14" s="262"/>
      <c r="BE14" s="528">
        <v>6</v>
      </c>
      <c r="BF14" s="526">
        <v>11.58</v>
      </c>
      <c r="BG14" s="529">
        <v>16.21</v>
      </c>
      <c r="BH14" s="262"/>
      <c r="BI14" s="528">
        <v>6</v>
      </c>
      <c r="BJ14" s="526">
        <v>11.73</v>
      </c>
      <c r="BK14" s="529">
        <v>16.43</v>
      </c>
      <c r="BL14" s="262"/>
      <c r="BP14" s="280"/>
    </row>
    <row r="15" spans="1:68" ht="23.25">
      <c r="A15" s="269">
        <v>7</v>
      </c>
      <c r="B15" s="1437">
        <f t="shared" si="0"/>
        <v>11.37</v>
      </c>
      <c r="C15" s="1438">
        <f t="shared" si="1"/>
        <v>15.92</v>
      </c>
      <c r="D15" s="262"/>
      <c r="E15" s="1413">
        <v>7</v>
      </c>
      <c r="F15" s="1411">
        <v>10.65</v>
      </c>
      <c r="G15" s="1414">
        <v>14.91</v>
      </c>
      <c r="H15" s="1401"/>
      <c r="I15" s="1413">
        <v>7</v>
      </c>
      <c r="J15" s="1411">
        <v>10.83</v>
      </c>
      <c r="K15" s="1414">
        <v>15.17</v>
      </c>
      <c r="L15" s="262"/>
      <c r="M15" s="528">
        <v>7</v>
      </c>
      <c r="N15" s="569">
        <v>11.01</v>
      </c>
      <c r="O15" s="569">
        <v>15.42</v>
      </c>
      <c r="P15" s="262"/>
      <c r="Q15" s="528">
        <v>7</v>
      </c>
      <c r="R15" s="569">
        <v>11.19</v>
      </c>
      <c r="S15" s="569">
        <v>15.67</v>
      </c>
      <c r="T15" s="262"/>
      <c r="U15" s="528">
        <v>7</v>
      </c>
      <c r="V15" s="569">
        <v>11.37</v>
      </c>
      <c r="W15" s="569">
        <v>15.92</v>
      </c>
      <c r="X15" s="262"/>
      <c r="Y15" s="528">
        <v>7</v>
      </c>
      <c r="Z15" s="526">
        <v>11.55</v>
      </c>
      <c r="AA15" s="529">
        <v>16.170000000000002</v>
      </c>
      <c r="AB15" s="262"/>
      <c r="AC15" s="528">
        <v>7</v>
      </c>
      <c r="AD15" s="526">
        <v>11.73</v>
      </c>
      <c r="AE15" s="529">
        <v>16.43</v>
      </c>
      <c r="AF15" s="262"/>
      <c r="AG15" s="528">
        <v>7</v>
      </c>
      <c r="AH15" s="526">
        <v>11.91</v>
      </c>
      <c r="AI15" s="529">
        <v>16.68</v>
      </c>
      <c r="AJ15" s="262"/>
      <c r="AK15" s="528">
        <v>7</v>
      </c>
      <c r="AL15" s="526">
        <v>12.09</v>
      </c>
      <c r="AM15" s="529">
        <v>16.93</v>
      </c>
      <c r="AN15" s="262"/>
      <c r="AO15" s="528">
        <v>7</v>
      </c>
      <c r="AP15" s="526">
        <v>12.27</v>
      </c>
      <c r="AQ15" s="529">
        <v>17.18</v>
      </c>
      <c r="AR15" s="262"/>
      <c r="AS15" s="528">
        <v>7</v>
      </c>
      <c r="AT15" s="526">
        <v>12.45</v>
      </c>
      <c r="AU15" s="529">
        <v>17.43</v>
      </c>
      <c r="AV15" s="262"/>
      <c r="AW15" s="528">
        <v>7</v>
      </c>
      <c r="AX15" s="526">
        <v>12.63</v>
      </c>
      <c r="AY15" s="529">
        <v>17.690000000000001</v>
      </c>
      <c r="AZ15" s="262"/>
      <c r="BA15" s="528">
        <v>7</v>
      </c>
      <c r="BB15" s="526">
        <v>12.81</v>
      </c>
      <c r="BC15" s="529">
        <v>17.940000000000001</v>
      </c>
      <c r="BD15" s="262"/>
      <c r="BE15" s="528">
        <v>7</v>
      </c>
      <c r="BF15" s="526">
        <v>12.99</v>
      </c>
      <c r="BG15" s="529">
        <v>18.190000000000001</v>
      </c>
      <c r="BH15" s="262"/>
      <c r="BI15" s="528">
        <v>7</v>
      </c>
      <c r="BJ15" s="526">
        <v>13.17</v>
      </c>
      <c r="BK15" s="529">
        <v>18.440000000000001</v>
      </c>
      <c r="BL15" s="262"/>
      <c r="BP15" s="280"/>
    </row>
    <row r="16" spans="1:68" ht="23.25">
      <c r="A16" s="269">
        <v>8</v>
      </c>
      <c r="B16" s="1437">
        <f t="shared" si="0"/>
        <v>12.55</v>
      </c>
      <c r="C16" s="1438">
        <f t="shared" si="1"/>
        <v>17.57</v>
      </c>
      <c r="D16" s="262"/>
      <c r="E16" s="1413">
        <v>8</v>
      </c>
      <c r="F16" s="1411">
        <v>11.73</v>
      </c>
      <c r="G16" s="1414">
        <v>16.420000000000002</v>
      </c>
      <c r="H16" s="1401"/>
      <c r="I16" s="1413">
        <v>8</v>
      </c>
      <c r="J16" s="1411">
        <v>11.93</v>
      </c>
      <c r="K16" s="1414">
        <v>16.71</v>
      </c>
      <c r="L16" s="262"/>
      <c r="M16" s="528">
        <v>8</v>
      </c>
      <c r="N16" s="569">
        <v>12.14</v>
      </c>
      <c r="O16" s="569">
        <v>17</v>
      </c>
      <c r="P16" s="262"/>
      <c r="Q16" s="528">
        <v>8</v>
      </c>
      <c r="R16" s="569">
        <v>12.35</v>
      </c>
      <c r="S16" s="569">
        <v>17.28</v>
      </c>
      <c r="T16" s="262"/>
      <c r="U16" s="528">
        <v>8</v>
      </c>
      <c r="V16" s="569">
        <v>12.55</v>
      </c>
      <c r="W16" s="569">
        <v>17.57</v>
      </c>
      <c r="X16" s="262"/>
      <c r="Y16" s="528">
        <v>8</v>
      </c>
      <c r="Z16" s="526">
        <v>12.76</v>
      </c>
      <c r="AA16" s="529">
        <v>17.86</v>
      </c>
      <c r="AB16" s="262"/>
      <c r="AC16" s="528">
        <v>8</v>
      </c>
      <c r="AD16" s="526">
        <v>12.96</v>
      </c>
      <c r="AE16" s="529">
        <v>18.149999999999999</v>
      </c>
      <c r="AF16" s="262"/>
      <c r="AG16" s="528">
        <v>8</v>
      </c>
      <c r="AH16" s="526">
        <v>13.17</v>
      </c>
      <c r="AI16" s="529">
        <v>18.440000000000001</v>
      </c>
      <c r="AJ16" s="262"/>
      <c r="AK16" s="528">
        <v>8</v>
      </c>
      <c r="AL16" s="526">
        <v>13.37</v>
      </c>
      <c r="AM16" s="529">
        <v>18.72</v>
      </c>
      <c r="AN16" s="262"/>
      <c r="AO16" s="528">
        <v>8</v>
      </c>
      <c r="AP16" s="526">
        <v>13.58</v>
      </c>
      <c r="AQ16" s="529">
        <v>19.010000000000002</v>
      </c>
      <c r="AR16" s="262"/>
      <c r="AS16" s="528">
        <v>8</v>
      </c>
      <c r="AT16" s="526">
        <v>13.78</v>
      </c>
      <c r="AU16" s="529">
        <v>19.3</v>
      </c>
      <c r="AV16" s="262"/>
      <c r="AW16" s="528">
        <v>8</v>
      </c>
      <c r="AX16" s="526">
        <v>13.99</v>
      </c>
      <c r="AY16" s="529">
        <v>19.59</v>
      </c>
      <c r="AZ16" s="262"/>
      <c r="BA16" s="528">
        <v>8</v>
      </c>
      <c r="BB16" s="526">
        <v>14.2</v>
      </c>
      <c r="BC16" s="529">
        <v>19.87</v>
      </c>
      <c r="BD16" s="262"/>
      <c r="BE16" s="528">
        <v>8</v>
      </c>
      <c r="BF16" s="526">
        <v>14.4</v>
      </c>
      <c r="BG16" s="529">
        <v>20.16</v>
      </c>
      <c r="BH16" s="262"/>
      <c r="BI16" s="528">
        <v>8</v>
      </c>
      <c r="BJ16" s="526">
        <v>14.61</v>
      </c>
      <c r="BK16" s="529">
        <v>20.45</v>
      </c>
      <c r="BL16" s="262"/>
      <c r="BP16" s="280"/>
    </row>
    <row r="17" spans="1:68" ht="23.25">
      <c r="A17" s="269">
        <v>9</v>
      </c>
      <c r="B17" s="1437">
        <f t="shared" si="0"/>
        <v>13.73</v>
      </c>
      <c r="C17" s="1438">
        <f t="shared" si="1"/>
        <v>19.22</v>
      </c>
      <c r="D17" s="262"/>
      <c r="E17" s="1413">
        <v>9</v>
      </c>
      <c r="F17" s="1411">
        <v>12.81</v>
      </c>
      <c r="G17" s="1414">
        <v>17.93</v>
      </c>
      <c r="H17" s="1401"/>
      <c r="I17" s="1413">
        <v>9</v>
      </c>
      <c r="J17" s="1411">
        <v>13.04</v>
      </c>
      <c r="K17" s="1414">
        <v>18.25</v>
      </c>
      <c r="L17" s="262"/>
      <c r="M17" s="528">
        <v>9</v>
      </c>
      <c r="N17" s="569">
        <v>13.27</v>
      </c>
      <c r="O17" s="569">
        <v>18.579999999999998</v>
      </c>
      <c r="P17" s="262"/>
      <c r="Q17" s="528">
        <v>9</v>
      </c>
      <c r="R17" s="569">
        <v>13.5</v>
      </c>
      <c r="S17" s="569">
        <v>18.899999999999999</v>
      </c>
      <c r="T17" s="262"/>
      <c r="U17" s="528">
        <v>9</v>
      </c>
      <c r="V17" s="569">
        <v>13.73</v>
      </c>
      <c r="W17" s="569">
        <v>19.22</v>
      </c>
      <c r="X17" s="262"/>
      <c r="Y17" s="528">
        <v>9</v>
      </c>
      <c r="Z17" s="526">
        <v>13.96</v>
      </c>
      <c r="AA17" s="529">
        <v>19.55</v>
      </c>
      <c r="AB17" s="262"/>
      <c r="AC17" s="528">
        <v>9</v>
      </c>
      <c r="AD17" s="526">
        <v>14.19</v>
      </c>
      <c r="AE17" s="529">
        <v>19.87</v>
      </c>
      <c r="AF17" s="262"/>
      <c r="AG17" s="528">
        <v>9</v>
      </c>
      <c r="AH17" s="526">
        <v>14.43</v>
      </c>
      <c r="AI17" s="529">
        <v>20.2</v>
      </c>
      <c r="AJ17" s="262"/>
      <c r="AK17" s="528">
        <v>9</v>
      </c>
      <c r="AL17" s="526">
        <v>14.66</v>
      </c>
      <c r="AM17" s="529">
        <v>20.52</v>
      </c>
      <c r="AN17" s="262"/>
      <c r="AO17" s="528">
        <v>9</v>
      </c>
      <c r="AP17" s="526">
        <v>14.89</v>
      </c>
      <c r="AQ17" s="529">
        <v>20.84</v>
      </c>
      <c r="AR17" s="262"/>
      <c r="AS17" s="528">
        <v>9</v>
      </c>
      <c r="AT17" s="526">
        <v>15.12</v>
      </c>
      <c r="AU17" s="529">
        <v>21.17</v>
      </c>
      <c r="AV17" s="262"/>
      <c r="AW17" s="528">
        <v>9</v>
      </c>
      <c r="AX17" s="526">
        <v>15.35</v>
      </c>
      <c r="AY17" s="529">
        <v>21.49</v>
      </c>
      <c r="AZ17" s="262"/>
      <c r="BA17" s="528">
        <v>9</v>
      </c>
      <c r="BB17" s="526">
        <v>15.58</v>
      </c>
      <c r="BC17" s="529">
        <v>21.81</v>
      </c>
      <c r="BD17" s="262"/>
      <c r="BE17" s="528">
        <v>9</v>
      </c>
      <c r="BF17" s="526">
        <v>15.81</v>
      </c>
      <c r="BG17" s="529">
        <v>22.14</v>
      </c>
      <c r="BH17" s="262"/>
      <c r="BI17" s="528">
        <v>9</v>
      </c>
      <c r="BJ17" s="526">
        <v>16.04</v>
      </c>
      <c r="BK17" s="529">
        <v>22.46</v>
      </c>
      <c r="BL17" s="262"/>
      <c r="BP17" s="280"/>
    </row>
    <row r="18" spans="1:68" ht="23.25">
      <c r="A18" s="269">
        <v>10</v>
      </c>
      <c r="B18" s="1437">
        <f t="shared" si="0"/>
        <v>14.91</v>
      </c>
      <c r="C18" s="1438">
        <f t="shared" si="1"/>
        <v>20.87</v>
      </c>
      <c r="D18" s="262"/>
      <c r="E18" s="1413">
        <v>10</v>
      </c>
      <c r="F18" s="1411">
        <v>13.88</v>
      </c>
      <c r="G18" s="1414">
        <v>19.440000000000001</v>
      </c>
      <c r="H18" s="1401"/>
      <c r="I18" s="1413">
        <v>10</v>
      </c>
      <c r="J18" s="1411">
        <v>14.14</v>
      </c>
      <c r="K18" s="1414">
        <v>19.8</v>
      </c>
      <c r="L18" s="262"/>
      <c r="M18" s="528">
        <v>10</v>
      </c>
      <c r="N18" s="569">
        <v>14.4</v>
      </c>
      <c r="O18" s="569">
        <v>20.149999999999999</v>
      </c>
      <c r="P18" s="262"/>
      <c r="Q18" s="528">
        <v>10</v>
      </c>
      <c r="R18" s="569">
        <v>14.65</v>
      </c>
      <c r="S18" s="569">
        <v>20.51</v>
      </c>
      <c r="T18" s="262"/>
      <c r="U18" s="528">
        <v>10</v>
      </c>
      <c r="V18" s="569">
        <v>14.91</v>
      </c>
      <c r="W18" s="569">
        <v>20.87</v>
      </c>
      <c r="X18" s="262"/>
      <c r="Y18" s="528">
        <v>10</v>
      </c>
      <c r="Z18" s="526">
        <v>15.17</v>
      </c>
      <c r="AA18" s="529">
        <v>21.23</v>
      </c>
      <c r="AB18" s="262"/>
      <c r="AC18" s="528">
        <v>10</v>
      </c>
      <c r="AD18" s="526">
        <v>15.42</v>
      </c>
      <c r="AE18" s="529">
        <v>21.59</v>
      </c>
      <c r="AF18" s="262"/>
      <c r="AG18" s="528">
        <v>10</v>
      </c>
      <c r="AH18" s="526">
        <v>15.68</v>
      </c>
      <c r="AI18" s="529">
        <v>21.95</v>
      </c>
      <c r="AJ18" s="262"/>
      <c r="AK18" s="528">
        <v>10</v>
      </c>
      <c r="AL18" s="526">
        <v>15.94</v>
      </c>
      <c r="AM18" s="529">
        <v>22.31</v>
      </c>
      <c r="AN18" s="262"/>
      <c r="AO18" s="528">
        <v>10</v>
      </c>
      <c r="AP18" s="526">
        <v>16.2</v>
      </c>
      <c r="AQ18" s="529">
        <v>22.67</v>
      </c>
      <c r="AR18" s="262"/>
      <c r="AS18" s="528">
        <v>10</v>
      </c>
      <c r="AT18" s="526">
        <v>16.45</v>
      </c>
      <c r="AU18" s="529">
        <v>23.03</v>
      </c>
      <c r="AV18" s="262"/>
      <c r="AW18" s="528">
        <v>10</v>
      </c>
      <c r="AX18" s="526">
        <v>16.71</v>
      </c>
      <c r="AY18" s="529">
        <v>23.39</v>
      </c>
      <c r="AZ18" s="262"/>
      <c r="BA18" s="528">
        <v>10</v>
      </c>
      <c r="BB18" s="526">
        <v>16.97</v>
      </c>
      <c r="BC18" s="529">
        <v>23.75</v>
      </c>
      <c r="BD18" s="262"/>
      <c r="BE18" s="528">
        <v>10</v>
      </c>
      <c r="BF18" s="526">
        <v>17.22</v>
      </c>
      <c r="BG18" s="529">
        <v>24.11</v>
      </c>
      <c r="BH18" s="262"/>
      <c r="BI18" s="528">
        <v>10</v>
      </c>
      <c r="BJ18" s="526">
        <v>17.48</v>
      </c>
      <c r="BK18" s="529">
        <v>24.47</v>
      </c>
      <c r="BL18" s="262"/>
      <c r="BP18" s="280"/>
    </row>
    <row r="19" spans="1:68" ht="23.25">
      <c r="A19" s="269">
        <v>11</v>
      </c>
      <c r="B19" s="1437">
        <f t="shared" si="0"/>
        <v>16.09</v>
      </c>
      <c r="C19" s="1438">
        <f t="shared" si="1"/>
        <v>22.53</v>
      </c>
      <c r="D19" s="262"/>
      <c r="E19" s="1413">
        <v>11</v>
      </c>
      <c r="F19" s="1411">
        <v>14.96</v>
      </c>
      <c r="G19" s="1414">
        <v>20.94</v>
      </c>
      <c r="H19" s="1401"/>
      <c r="I19" s="1413">
        <v>11</v>
      </c>
      <c r="J19" s="1411">
        <v>15.24</v>
      </c>
      <c r="K19" s="1414">
        <v>21.34</v>
      </c>
      <c r="L19" s="262"/>
      <c r="M19" s="528">
        <v>11</v>
      </c>
      <c r="N19" s="569">
        <v>15.52</v>
      </c>
      <c r="O19" s="569">
        <v>21.73</v>
      </c>
      <c r="P19" s="262"/>
      <c r="Q19" s="528">
        <v>11</v>
      </c>
      <c r="R19" s="569">
        <v>15.81</v>
      </c>
      <c r="S19" s="569">
        <v>22.13</v>
      </c>
      <c r="T19" s="262"/>
      <c r="U19" s="528">
        <v>11</v>
      </c>
      <c r="V19" s="569">
        <v>16.09</v>
      </c>
      <c r="W19" s="569">
        <v>22.53</v>
      </c>
      <c r="X19" s="262"/>
      <c r="Y19" s="528">
        <v>11</v>
      </c>
      <c r="Z19" s="526">
        <v>16.37</v>
      </c>
      <c r="AA19" s="529">
        <v>22.92</v>
      </c>
      <c r="AB19" s="262"/>
      <c r="AC19" s="528">
        <v>11</v>
      </c>
      <c r="AD19" s="526">
        <v>16.649999999999999</v>
      </c>
      <c r="AE19" s="529">
        <v>23.32</v>
      </c>
      <c r="AF19" s="262"/>
      <c r="AG19" s="528">
        <v>11</v>
      </c>
      <c r="AH19" s="526">
        <v>16.940000000000001</v>
      </c>
      <c r="AI19" s="529">
        <v>23.71</v>
      </c>
      <c r="AJ19" s="262"/>
      <c r="AK19" s="528">
        <v>11</v>
      </c>
      <c r="AL19" s="526">
        <v>17.22</v>
      </c>
      <c r="AM19" s="529">
        <v>24.11</v>
      </c>
      <c r="AN19" s="262"/>
      <c r="AO19" s="528">
        <v>11</v>
      </c>
      <c r="AP19" s="526">
        <v>17.5</v>
      </c>
      <c r="AQ19" s="529">
        <v>24.5</v>
      </c>
      <c r="AR19" s="262"/>
      <c r="AS19" s="528">
        <v>11</v>
      </c>
      <c r="AT19" s="526">
        <v>17.79</v>
      </c>
      <c r="AU19" s="529">
        <v>24.9</v>
      </c>
      <c r="AV19" s="262"/>
      <c r="AW19" s="528">
        <v>11</v>
      </c>
      <c r="AX19" s="526">
        <v>18.07</v>
      </c>
      <c r="AY19" s="529">
        <v>25.3</v>
      </c>
      <c r="AZ19" s="262"/>
      <c r="BA19" s="528">
        <v>11</v>
      </c>
      <c r="BB19" s="526">
        <v>18.350000000000001</v>
      </c>
      <c r="BC19" s="529">
        <v>25.69</v>
      </c>
      <c r="BD19" s="262"/>
      <c r="BE19" s="528">
        <v>11</v>
      </c>
      <c r="BF19" s="526">
        <v>18.63</v>
      </c>
      <c r="BG19" s="529">
        <v>26.09</v>
      </c>
      <c r="BH19" s="262"/>
      <c r="BI19" s="528">
        <v>11</v>
      </c>
      <c r="BJ19" s="526">
        <v>18.920000000000002</v>
      </c>
      <c r="BK19" s="529">
        <v>26.48</v>
      </c>
      <c r="BL19" s="262"/>
      <c r="BP19" s="280"/>
    </row>
    <row r="20" spans="1:68" ht="23.25">
      <c r="A20" s="269">
        <v>12</v>
      </c>
      <c r="B20" s="1437">
        <f t="shared" si="0"/>
        <v>17.27</v>
      </c>
      <c r="C20" s="1438">
        <f t="shared" si="1"/>
        <v>24.18</v>
      </c>
      <c r="D20" s="262"/>
      <c r="E20" s="1413">
        <v>12</v>
      </c>
      <c r="F20" s="1411">
        <v>16.04</v>
      </c>
      <c r="G20" s="1414">
        <v>22.45</v>
      </c>
      <c r="H20" s="1401"/>
      <c r="I20" s="1413">
        <v>12</v>
      </c>
      <c r="J20" s="1411">
        <v>16.34</v>
      </c>
      <c r="K20" s="1414">
        <v>22.88</v>
      </c>
      <c r="L20" s="262"/>
      <c r="M20" s="528">
        <v>12</v>
      </c>
      <c r="N20" s="569">
        <v>16.649999999999999</v>
      </c>
      <c r="O20" s="569">
        <v>23.31</v>
      </c>
      <c r="P20" s="262"/>
      <c r="Q20" s="528">
        <v>12</v>
      </c>
      <c r="R20" s="569">
        <v>16.96</v>
      </c>
      <c r="S20" s="569">
        <v>23.75</v>
      </c>
      <c r="T20" s="262"/>
      <c r="U20" s="528">
        <v>12</v>
      </c>
      <c r="V20" s="569">
        <v>17.27</v>
      </c>
      <c r="W20" s="569">
        <v>24.18</v>
      </c>
      <c r="X20" s="262"/>
      <c r="Y20" s="528">
        <v>12</v>
      </c>
      <c r="Z20" s="526">
        <v>17.579999999999998</v>
      </c>
      <c r="AA20" s="529">
        <v>24.61</v>
      </c>
      <c r="AB20" s="262"/>
      <c r="AC20" s="528">
        <v>12</v>
      </c>
      <c r="AD20" s="526">
        <v>17.89</v>
      </c>
      <c r="AE20" s="529">
        <v>25.04</v>
      </c>
      <c r="AF20" s="262"/>
      <c r="AG20" s="528">
        <v>12</v>
      </c>
      <c r="AH20" s="526">
        <v>18.190000000000001</v>
      </c>
      <c r="AI20" s="529">
        <v>25.47</v>
      </c>
      <c r="AJ20" s="262"/>
      <c r="AK20" s="528">
        <v>12</v>
      </c>
      <c r="AL20" s="526">
        <v>18.5</v>
      </c>
      <c r="AM20" s="529">
        <v>25.9</v>
      </c>
      <c r="AN20" s="262"/>
      <c r="AO20" s="528">
        <v>12</v>
      </c>
      <c r="AP20" s="526">
        <v>18.809999999999999</v>
      </c>
      <c r="AQ20" s="529">
        <v>26.34</v>
      </c>
      <c r="AR20" s="262"/>
      <c r="AS20" s="528">
        <v>12</v>
      </c>
      <c r="AT20" s="526">
        <v>19.12</v>
      </c>
      <c r="AU20" s="529">
        <v>26.77</v>
      </c>
      <c r="AV20" s="262"/>
      <c r="AW20" s="528">
        <v>12</v>
      </c>
      <c r="AX20" s="526">
        <v>19.43</v>
      </c>
      <c r="AY20" s="529">
        <v>27.2</v>
      </c>
      <c r="AZ20" s="262"/>
      <c r="BA20" s="528">
        <v>12</v>
      </c>
      <c r="BB20" s="526">
        <v>19.739999999999998</v>
      </c>
      <c r="BC20" s="529">
        <v>27.63</v>
      </c>
      <c r="BD20" s="262"/>
      <c r="BE20" s="528">
        <v>12</v>
      </c>
      <c r="BF20" s="526">
        <v>20.04</v>
      </c>
      <c r="BG20" s="529">
        <v>28.06</v>
      </c>
      <c r="BH20" s="262"/>
      <c r="BI20" s="528">
        <v>12</v>
      </c>
      <c r="BJ20" s="526">
        <v>20.350000000000001</v>
      </c>
      <c r="BK20" s="529">
        <v>28.49</v>
      </c>
      <c r="BL20" s="262"/>
      <c r="BP20" s="280"/>
    </row>
    <row r="21" spans="1:68" ht="23.25">
      <c r="A21" s="269">
        <v>13</v>
      </c>
      <c r="B21" s="1437">
        <f t="shared" si="0"/>
        <v>18.45</v>
      </c>
      <c r="C21" s="1438">
        <f t="shared" si="1"/>
        <v>25.83</v>
      </c>
      <c r="D21" s="262"/>
      <c r="E21" s="1413">
        <v>13</v>
      </c>
      <c r="F21" s="1411">
        <v>17.11</v>
      </c>
      <c r="G21" s="1414">
        <v>23.96</v>
      </c>
      <c r="H21" s="1401"/>
      <c r="I21" s="1413">
        <v>13</v>
      </c>
      <c r="J21" s="1411">
        <v>17.45</v>
      </c>
      <c r="K21" s="1414">
        <v>24.43</v>
      </c>
      <c r="L21" s="262"/>
      <c r="M21" s="528">
        <v>13</v>
      </c>
      <c r="N21" s="569">
        <v>17.78</v>
      </c>
      <c r="O21" s="569">
        <v>24.89</v>
      </c>
      <c r="P21" s="262"/>
      <c r="Q21" s="528">
        <v>13</v>
      </c>
      <c r="R21" s="569">
        <v>18.12</v>
      </c>
      <c r="S21" s="569">
        <v>25.36</v>
      </c>
      <c r="T21" s="262"/>
      <c r="U21" s="528">
        <v>13</v>
      </c>
      <c r="V21" s="569">
        <v>18.45</v>
      </c>
      <c r="W21" s="569">
        <v>25.83</v>
      </c>
      <c r="X21" s="262"/>
      <c r="Y21" s="528">
        <v>13</v>
      </c>
      <c r="Z21" s="526">
        <v>18.78</v>
      </c>
      <c r="AA21" s="529">
        <v>26.3</v>
      </c>
      <c r="AB21" s="262"/>
      <c r="AC21" s="528">
        <v>13</v>
      </c>
      <c r="AD21" s="526">
        <v>19.12</v>
      </c>
      <c r="AE21" s="529">
        <v>26.76</v>
      </c>
      <c r="AF21" s="262"/>
      <c r="AG21" s="528">
        <v>13</v>
      </c>
      <c r="AH21" s="526">
        <v>19.45</v>
      </c>
      <c r="AI21" s="529">
        <v>27.23</v>
      </c>
      <c r="AJ21" s="262"/>
      <c r="AK21" s="528">
        <v>13</v>
      </c>
      <c r="AL21" s="526">
        <v>19.79</v>
      </c>
      <c r="AM21" s="529">
        <v>27.7</v>
      </c>
      <c r="AN21" s="262"/>
      <c r="AO21" s="528">
        <v>13</v>
      </c>
      <c r="AP21" s="526">
        <v>20.12</v>
      </c>
      <c r="AQ21" s="529">
        <v>28.17</v>
      </c>
      <c r="AR21" s="262"/>
      <c r="AS21" s="528">
        <v>13</v>
      </c>
      <c r="AT21" s="526">
        <v>20.45</v>
      </c>
      <c r="AU21" s="529">
        <v>28.64</v>
      </c>
      <c r="AV21" s="262"/>
      <c r="AW21" s="528">
        <v>13</v>
      </c>
      <c r="AX21" s="526">
        <v>20.79</v>
      </c>
      <c r="AY21" s="529">
        <v>29.1</v>
      </c>
      <c r="AZ21" s="262"/>
      <c r="BA21" s="528">
        <v>13</v>
      </c>
      <c r="BB21" s="526">
        <v>21.12</v>
      </c>
      <c r="BC21" s="529">
        <v>29.57</v>
      </c>
      <c r="BD21" s="262"/>
      <c r="BE21" s="528">
        <v>13</v>
      </c>
      <c r="BF21" s="526">
        <v>21.46</v>
      </c>
      <c r="BG21" s="529">
        <v>30.04</v>
      </c>
      <c r="BH21" s="262"/>
      <c r="BI21" s="528">
        <v>13</v>
      </c>
      <c r="BJ21" s="526">
        <v>21.79</v>
      </c>
      <c r="BK21" s="529">
        <v>30.51</v>
      </c>
      <c r="BL21" s="262"/>
      <c r="BP21" s="280"/>
    </row>
    <row r="22" spans="1:68" ht="23.25">
      <c r="A22" s="269">
        <v>14</v>
      </c>
      <c r="B22" s="1437">
        <f t="shared" si="0"/>
        <v>19.63</v>
      </c>
      <c r="C22" s="1438">
        <f t="shared" si="1"/>
        <v>27.48</v>
      </c>
      <c r="D22" s="262"/>
      <c r="E22" s="1413">
        <v>14</v>
      </c>
      <c r="F22" s="1411">
        <v>18.190000000000001</v>
      </c>
      <c r="G22" s="1414">
        <v>25.47</v>
      </c>
      <c r="H22" s="1401"/>
      <c r="I22" s="1413">
        <v>14</v>
      </c>
      <c r="J22" s="1411">
        <v>18.55</v>
      </c>
      <c r="K22" s="1414">
        <v>25.97</v>
      </c>
      <c r="L22" s="262"/>
      <c r="M22" s="528">
        <v>14</v>
      </c>
      <c r="N22" s="569">
        <v>18.91</v>
      </c>
      <c r="O22" s="569">
        <v>26.47</v>
      </c>
      <c r="P22" s="262"/>
      <c r="Q22" s="528">
        <v>14</v>
      </c>
      <c r="R22" s="569">
        <v>19.27</v>
      </c>
      <c r="S22" s="569">
        <v>26.98</v>
      </c>
      <c r="T22" s="262"/>
      <c r="U22" s="528">
        <v>14</v>
      </c>
      <c r="V22" s="569">
        <v>19.63</v>
      </c>
      <c r="W22" s="569">
        <v>27.48</v>
      </c>
      <c r="X22" s="262"/>
      <c r="Y22" s="528">
        <v>14</v>
      </c>
      <c r="Z22" s="526">
        <v>19.989999999999998</v>
      </c>
      <c r="AA22" s="529">
        <v>27.98</v>
      </c>
      <c r="AB22" s="262"/>
      <c r="AC22" s="528">
        <v>14</v>
      </c>
      <c r="AD22" s="526">
        <v>20.350000000000001</v>
      </c>
      <c r="AE22" s="529">
        <v>28.49</v>
      </c>
      <c r="AF22" s="262"/>
      <c r="AG22" s="528">
        <v>14</v>
      </c>
      <c r="AH22" s="526">
        <v>20.71</v>
      </c>
      <c r="AI22" s="529">
        <v>28.99</v>
      </c>
      <c r="AJ22" s="262"/>
      <c r="AK22" s="528">
        <v>14</v>
      </c>
      <c r="AL22" s="526">
        <v>21.07</v>
      </c>
      <c r="AM22" s="529">
        <v>29.5</v>
      </c>
      <c r="AN22" s="262"/>
      <c r="AO22" s="528">
        <v>14</v>
      </c>
      <c r="AP22" s="526">
        <v>21.43</v>
      </c>
      <c r="AQ22" s="529">
        <v>30</v>
      </c>
      <c r="AR22" s="262"/>
      <c r="AS22" s="528">
        <v>14</v>
      </c>
      <c r="AT22" s="526">
        <v>21.79</v>
      </c>
      <c r="AU22" s="529">
        <v>30.5</v>
      </c>
      <c r="AV22" s="262"/>
      <c r="AW22" s="528">
        <v>14</v>
      </c>
      <c r="AX22" s="526">
        <v>22.15</v>
      </c>
      <c r="AY22" s="529">
        <v>31.01</v>
      </c>
      <c r="AZ22" s="262"/>
      <c r="BA22" s="528">
        <v>14</v>
      </c>
      <c r="BB22" s="526">
        <v>22.51</v>
      </c>
      <c r="BC22" s="529">
        <v>31.51</v>
      </c>
      <c r="BD22" s="262"/>
      <c r="BE22" s="528">
        <v>14</v>
      </c>
      <c r="BF22" s="526">
        <v>22.87</v>
      </c>
      <c r="BG22" s="529">
        <v>32.01</v>
      </c>
      <c r="BH22" s="262"/>
      <c r="BI22" s="528">
        <v>14</v>
      </c>
      <c r="BJ22" s="526">
        <v>23.23</v>
      </c>
      <c r="BK22" s="529">
        <v>32.520000000000003</v>
      </c>
      <c r="BL22" s="262"/>
      <c r="BP22" s="280"/>
    </row>
    <row r="23" spans="1:68" ht="23.25">
      <c r="A23" s="269">
        <v>15</v>
      </c>
      <c r="B23" s="1437">
        <f t="shared" si="0"/>
        <v>20.87</v>
      </c>
      <c r="C23" s="1438">
        <f t="shared" si="1"/>
        <v>29.21</v>
      </c>
      <c r="D23" s="262"/>
      <c r="E23" s="1413">
        <v>15</v>
      </c>
      <c r="F23" s="1411">
        <v>19.32</v>
      </c>
      <c r="G23" s="1414">
        <v>27.05</v>
      </c>
      <c r="H23" s="1401"/>
      <c r="I23" s="1413">
        <v>15</v>
      </c>
      <c r="J23" s="1411">
        <v>19.71</v>
      </c>
      <c r="K23" s="1414">
        <v>27.59</v>
      </c>
      <c r="L23" s="262"/>
      <c r="M23" s="528">
        <v>15</v>
      </c>
      <c r="N23" s="569">
        <v>20.09</v>
      </c>
      <c r="O23" s="569">
        <v>28.13</v>
      </c>
      <c r="P23" s="262"/>
      <c r="Q23" s="528">
        <v>15</v>
      </c>
      <c r="R23" s="569">
        <v>20.48</v>
      </c>
      <c r="S23" s="569">
        <v>28.67</v>
      </c>
      <c r="T23" s="262"/>
      <c r="U23" s="528">
        <v>15</v>
      </c>
      <c r="V23" s="569">
        <v>20.87</v>
      </c>
      <c r="W23" s="569">
        <v>29.21</v>
      </c>
      <c r="X23" s="262"/>
      <c r="Y23" s="528">
        <v>15</v>
      </c>
      <c r="Z23" s="526">
        <v>21.25</v>
      </c>
      <c r="AA23" s="529">
        <v>29.75</v>
      </c>
      <c r="AB23" s="262"/>
      <c r="AC23" s="528">
        <v>15</v>
      </c>
      <c r="AD23" s="526">
        <v>21.64</v>
      </c>
      <c r="AE23" s="529">
        <v>30.29</v>
      </c>
      <c r="AF23" s="262"/>
      <c r="AG23" s="528">
        <v>15</v>
      </c>
      <c r="AH23" s="526">
        <v>22.02</v>
      </c>
      <c r="AI23" s="529">
        <v>30.83</v>
      </c>
      <c r="AJ23" s="262"/>
      <c r="AK23" s="528">
        <v>15</v>
      </c>
      <c r="AL23" s="526">
        <v>22.41</v>
      </c>
      <c r="AM23" s="529">
        <v>31.37</v>
      </c>
      <c r="AN23" s="262"/>
      <c r="AO23" s="528">
        <v>15</v>
      </c>
      <c r="AP23" s="526">
        <v>22.79</v>
      </c>
      <c r="AQ23" s="529">
        <v>31.91</v>
      </c>
      <c r="AR23" s="262"/>
      <c r="AS23" s="528">
        <v>15</v>
      </c>
      <c r="AT23" s="526">
        <v>23.18</v>
      </c>
      <c r="AU23" s="529">
        <v>32.450000000000003</v>
      </c>
      <c r="AV23" s="262"/>
      <c r="AW23" s="528">
        <v>15</v>
      </c>
      <c r="AX23" s="526">
        <v>23.56</v>
      </c>
      <c r="AY23" s="529">
        <v>32.99</v>
      </c>
      <c r="AZ23" s="262"/>
      <c r="BA23" s="528">
        <v>15</v>
      </c>
      <c r="BB23" s="526">
        <v>23.95</v>
      </c>
      <c r="BC23" s="529">
        <v>33.53</v>
      </c>
      <c r="BD23" s="262"/>
      <c r="BE23" s="528">
        <v>15</v>
      </c>
      <c r="BF23" s="526">
        <v>24.33</v>
      </c>
      <c r="BG23" s="529">
        <v>34.07</v>
      </c>
      <c r="BH23" s="262"/>
      <c r="BI23" s="528">
        <v>15</v>
      </c>
      <c r="BJ23" s="526">
        <v>24.72</v>
      </c>
      <c r="BK23" s="529">
        <v>34.61</v>
      </c>
      <c r="BL23" s="262"/>
      <c r="BP23" s="280"/>
    </row>
    <row r="24" spans="1:68" ht="23.25">
      <c r="A24" s="269">
        <v>16</v>
      </c>
      <c r="B24" s="1437">
        <f t="shared" si="0"/>
        <v>22.21</v>
      </c>
      <c r="C24" s="1438">
        <f t="shared" si="1"/>
        <v>31.1</v>
      </c>
      <c r="D24" s="262"/>
      <c r="E24" s="1413">
        <v>16</v>
      </c>
      <c r="F24" s="1411">
        <v>20.57</v>
      </c>
      <c r="G24" s="1414">
        <v>28.8</v>
      </c>
      <c r="H24" s="1401"/>
      <c r="I24" s="1413">
        <v>16</v>
      </c>
      <c r="J24" s="1411">
        <v>20.98</v>
      </c>
      <c r="K24" s="1414">
        <v>29.37</v>
      </c>
      <c r="L24" s="262"/>
      <c r="M24" s="528">
        <v>16</v>
      </c>
      <c r="N24" s="569">
        <v>21.39</v>
      </c>
      <c r="O24" s="569">
        <v>29.95</v>
      </c>
      <c r="P24" s="262"/>
      <c r="Q24" s="528">
        <v>16</v>
      </c>
      <c r="R24" s="569">
        <v>21.8</v>
      </c>
      <c r="S24" s="569">
        <v>30.52</v>
      </c>
      <c r="T24" s="262"/>
      <c r="U24" s="528">
        <v>16</v>
      </c>
      <c r="V24" s="569">
        <v>22.21</v>
      </c>
      <c r="W24" s="569">
        <v>31.1</v>
      </c>
      <c r="X24" s="262"/>
      <c r="Y24" s="528">
        <v>16</v>
      </c>
      <c r="Z24" s="526">
        <v>22.63</v>
      </c>
      <c r="AA24" s="529">
        <v>31.68</v>
      </c>
      <c r="AB24" s="262"/>
      <c r="AC24" s="528">
        <v>16</v>
      </c>
      <c r="AD24" s="526">
        <v>23.04</v>
      </c>
      <c r="AE24" s="529">
        <v>32.25</v>
      </c>
      <c r="AF24" s="262"/>
      <c r="AG24" s="528">
        <v>16</v>
      </c>
      <c r="AH24" s="526">
        <v>23.45</v>
      </c>
      <c r="AI24" s="529">
        <v>32.83</v>
      </c>
      <c r="AJ24" s="262"/>
      <c r="AK24" s="528">
        <v>16</v>
      </c>
      <c r="AL24" s="526">
        <v>23.86</v>
      </c>
      <c r="AM24" s="529">
        <v>33.4</v>
      </c>
      <c r="AN24" s="262"/>
      <c r="AO24" s="528">
        <v>16</v>
      </c>
      <c r="AP24" s="526">
        <v>24.27</v>
      </c>
      <c r="AQ24" s="529">
        <v>33.979999999999997</v>
      </c>
      <c r="AR24" s="262"/>
      <c r="AS24" s="528">
        <v>16</v>
      </c>
      <c r="AT24" s="526">
        <v>24.68</v>
      </c>
      <c r="AU24" s="529">
        <v>34.549999999999997</v>
      </c>
      <c r="AV24" s="262"/>
      <c r="AW24" s="528">
        <v>16</v>
      </c>
      <c r="AX24" s="526">
        <v>25.09</v>
      </c>
      <c r="AY24" s="529">
        <v>35.130000000000003</v>
      </c>
      <c r="AZ24" s="262"/>
      <c r="BA24" s="528">
        <v>16</v>
      </c>
      <c r="BB24" s="526">
        <v>25.5</v>
      </c>
      <c r="BC24" s="529">
        <v>35.71</v>
      </c>
      <c r="BD24" s="262"/>
      <c r="BE24" s="528">
        <v>16</v>
      </c>
      <c r="BF24" s="526">
        <v>25.91</v>
      </c>
      <c r="BG24" s="529">
        <v>26.28</v>
      </c>
      <c r="BH24" s="262"/>
      <c r="BI24" s="528">
        <v>16</v>
      </c>
      <c r="BJ24" s="526">
        <v>26.33</v>
      </c>
      <c r="BK24" s="529">
        <v>36.86</v>
      </c>
      <c r="BL24" s="262"/>
      <c r="BP24" s="280"/>
    </row>
    <row r="25" spans="1:68" ht="23.25">
      <c r="A25" s="269">
        <v>17</v>
      </c>
      <c r="B25" s="1437">
        <f t="shared" si="0"/>
        <v>23.56</v>
      </c>
      <c r="C25" s="1438">
        <f t="shared" si="1"/>
        <v>32.99</v>
      </c>
      <c r="D25" s="262"/>
      <c r="E25" s="1413">
        <v>17</v>
      </c>
      <c r="F25" s="1411">
        <v>21.82</v>
      </c>
      <c r="G25" s="1414">
        <v>30.54</v>
      </c>
      <c r="H25" s="1401"/>
      <c r="I25" s="1413">
        <v>17</v>
      </c>
      <c r="J25" s="1411">
        <v>22.25</v>
      </c>
      <c r="K25" s="1414">
        <v>31.15</v>
      </c>
      <c r="L25" s="262"/>
      <c r="M25" s="528">
        <v>17</v>
      </c>
      <c r="N25" s="569">
        <v>22.69</v>
      </c>
      <c r="O25" s="569">
        <v>31.77</v>
      </c>
      <c r="P25" s="262"/>
      <c r="Q25" s="528">
        <v>17</v>
      </c>
      <c r="R25" s="569">
        <v>23.13</v>
      </c>
      <c r="S25" s="569">
        <v>32.380000000000003</v>
      </c>
      <c r="T25" s="262"/>
      <c r="U25" s="528">
        <v>17</v>
      </c>
      <c r="V25" s="569">
        <v>23.56</v>
      </c>
      <c r="W25" s="569">
        <v>32.99</v>
      </c>
      <c r="X25" s="262"/>
      <c r="Y25" s="528">
        <v>17</v>
      </c>
      <c r="Z25" s="526">
        <v>24</v>
      </c>
      <c r="AA25" s="529">
        <v>33.6</v>
      </c>
      <c r="AB25" s="262"/>
      <c r="AC25" s="528">
        <v>17</v>
      </c>
      <c r="AD25" s="526">
        <v>24.44</v>
      </c>
      <c r="AE25" s="529">
        <v>34.21</v>
      </c>
      <c r="AF25" s="262"/>
      <c r="AG25" s="528">
        <v>17</v>
      </c>
      <c r="AH25" s="526">
        <v>24.87</v>
      </c>
      <c r="AI25" s="529">
        <v>34.82</v>
      </c>
      <c r="AJ25" s="262"/>
      <c r="AK25" s="528">
        <v>17</v>
      </c>
      <c r="AL25" s="526">
        <v>25.31</v>
      </c>
      <c r="AM25" s="529">
        <v>35.44</v>
      </c>
      <c r="AN25" s="262"/>
      <c r="AO25" s="528">
        <v>17</v>
      </c>
      <c r="AP25" s="526">
        <v>25.75</v>
      </c>
      <c r="AQ25" s="529">
        <v>36.049999999999997</v>
      </c>
      <c r="AR25" s="262"/>
      <c r="AS25" s="528">
        <v>17</v>
      </c>
      <c r="AT25" s="526">
        <v>26.19</v>
      </c>
      <c r="AU25" s="529">
        <v>36.659999999999997</v>
      </c>
      <c r="AV25" s="262"/>
      <c r="AW25" s="528">
        <v>17</v>
      </c>
      <c r="AX25" s="526">
        <v>26.62</v>
      </c>
      <c r="AY25" s="529">
        <v>37.270000000000003</v>
      </c>
      <c r="AZ25" s="262"/>
      <c r="BA25" s="528">
        <v>17</v>
      </c>
      <c r="BB25" s="526">
        <v>27.06</v>
      </c>
      <c r="BC25" s="529">
        <v>37.880000000000003</v>
      </c>
      <c r="BD25" s="262"/>
      <c r="BE25" s="528">
        <v>17</v>
      </c>
      <c r="BF25" s="526">
        <v>27.5</v>
      </c>
      <c r="BG25" s="529">
        <v>38.49</v>
      </c>
      <c r="BH25" s="262"/>
      <c r="BI25" s="528">
        <v>17</v>
      </c>
      <c r="BJ25" s="526">
        <v>27.93</v>
      </c>
      <c r="BK25" s="529">
        <v>39.11</v>
      </c>
      <c r="BL25" s="262"/>
      <c r="BP25" s="280"/>
    </row>
    <row r="26" spans="1:68" ht="23.25">
      <c r="A26" s="269">
        <v>18</v>
      </c>
      <c r="B26" s="1437">
        <f t="shared" si="0"/>
        <v>24.91</v>
      </c>
      <c r="C26" s="1438">
        <f t="shared" si="1"/>
        <v>34.880000000000003</v>
      </c>
      <c r="D26" s="262"/>
      <c r="E26" s="1413">
        <v>18</v>
      </c>
      <c r="F26" s="1411">
        <v>23.06</v>
      </c>
      <c r="G26" s="1414">
        <v>32.29</v>
      </c>
      <c r="H26" s="1401"/>
      <c r="I26" s="1413">
        <v>18</v>
      </c>
      <c r="J26" s="1411">
        <v>23.53</v>
      </c>
      <c r="K26" s="1414">
        <v>32.94</v>
      </c>
      <c r="L26" s="262"/>
      <c r="M26" s="528">
        <v>18</v>
      </c>
      <c r="N26" s="569">
        <v>23.99</v>
      </c>
      <c r="O26" s="569">
        <v>33.58</v>
      </c>
      <c r="P26" s="262"/>
      <c r="Q26" s="528">
        <v>18</v>
      </c>
      <c r="R26" s="569">
        <v>24.45</v>
      </c>
      <c r="S26" s="569">
        <v>34.229999999999997</v>
      </c>
      <c r="T26" s="262"/>
      <c r="U26" s="528">
        <v>18</v>
      </c>
      <c r="V26" s="569">
        <v>24.91</v>
      </c>
      <c r="W26" s="569">
        <v>34.880000000000003</v>
      </c>
      <c r="X26" s="262"/>
      <c r="Y26" s="528">
        <v>18</v>
      </c>
      <c r="Z26" s="526">
        <v>25.38</v>
      </c>
      <c r="AA26" s="529">
        <v>35.53</v>
      </c>
      <c r="AB26" s="262"/>
      <c r="AC26" s="528">
        <v>18</v>
      </c>
      <c r="AD26" s="526">
        <v>25.84</v>
      </c>
      <c r="AE26" s="529">
        <v>36.17</v>
      </c>
      <c r="AF26" s="262"/>
      <c r="AG26" s="528">
        <v>18</v>
      </c>
      <c r="AH26" s="526">
        <v>26.3</v>
      </c>
      <c r="AI26" s="529">
        <v>36.82</v>
      </c>
      <c r="AJ26" s="262"/>
      <c r="AK26" s="528">
        <v>18</v>
      </c>
      <c r="AL26" s="526">
        <v>26.76</v>
      </c>
      <c r="AM26" s="529">
        <v>37.47</v>
      </c>
      <c r="AN26" s="262"/>
      <c r="AO26" s="528">
        <v>18</v>
      </c>
      <c r="AP26" s="526">
        <v>27.23</v>
      </c>
      <c r="AQ26" s="529">
        <v>38.119999999999997</v>
      </c>
      <c r="AR26" s="262"/>
      <c r="AS26" s="528">
        <v>18</v>
      </c>
      <c r="AT26" s="526">
        <v>27.69</v>
      </c>
      <c r="AU26" s="529">
        <v>38.76</v>
      </c>
      <c r="AV26" s="262"/>
      <c r="AW26" s="528">
        <v>18</v>
      </c>
      <c r="AX26" s="526">
        <v>28.15</v>
      </c>
      <c r="AY26" s="529">
        <v>39.409999999999997</v>
      </c>
      <c r="AZ26" s="262"/>
      <c r="BA26" s="528">
        <v>18</v>
      </c>
      <c r="BB26" s="526">
        <v>28.61</v>
      </c>
      <c r="BC26" s="529">
        <v>40.06</v>
      </c>
      <c r="BD26" s="262"/>
      <c r="BE26" s="528">
        <v>18</v>
      </c>
      <c r="BF26" s="526">
        <v>29.08</v>
      </c>
      <c r="BG26" s="529">
        <v>40.71</v>
      </c>
      <c r="BH26" s="262"/>
      <c r="BI26" s="528">
        <v>18</v>
      </c>
      <c r="BJ26" s="526">
        <v>29.54</v>
      </c>
      <c r="BK26" s="529">
        <v>41.35</v>
      </c>
      <c r="BL26" s="262"/>
      <c r="BP26" s="280"/>
    </row>
    <row r="27" spans="1:68" ht="23.25">
      <c r="A27" s="269">
        <v>19</v>
      </c>
      <c r="B27" s="1437">
        <f t="shared" si="0"/>
        <v>26.26</v>
      </c>
      <c r="C27" s="1438">
        <f t="shared" si="1"/>
        <v>36.770000000000003</v>
      </c>
      <c r="D27" s="262"/>
      <c r="E27" s="1413">
        <v>19</v>
      </c>
      <c r="F27" s="1411">
        <v>24.31</v>
      </c>
      <c r="G27" s="1414">
        <v>34.03</v>
      </c>
      <c r="H27" s="1401"/>
      <c r="I27" s="1413">
        <v>19</v>
      </c>
      <c r="J27" s="1411">
        <v>24.8</v>
      </c>
      <c r="K27" s="1414">
        <v>34.72</v>
      </c>
      <c r="L27" s="262"/>
      <c r="M27" s="528">
        <v>19</v>
      </c>
      <c r="N27" s="569">
        <v>25.29</v>
      </c>
      <c r="O27" s="569">
        <v>35.4</v>
      </c>
      <c r="P27" s="262"/>
      <c r="Q27" s="528">
        <v>19</v>
      </c>
      <c r="R27" s="569">
        <v>25.78</v>
      </c>
      <c r="S27" s="569">
        <v>36.090000000000003</v>
      </c>
      <c r="T27" s="262"/>
      <c r="U27" s="528">
        <v>19</v>
      </c>
      <c r="V27" s="569">
        <v>26.26</v>
      </c>
      <c r="W27" s="569">
        <v>36.770000000000003</v>
      </c>
      <c r="X27" s="262"/>
      <c r="Y27" s="528">
        <v>19</v>
      </c>
      <c r="Z27" s="526">
        <v>26.75</v>
      </c>
      <c r="AA27" s="529">
        <v>37.450000000000003</v>
      </c>
      <c r="AB27" s="262"/>
      <c r="AC27" s="528">
        <v>19</v>
      </c>
      <c r="AD27" s="526">
        <v>27.24</v>
      </c>
      <c r="AE27" s="529">
        <v>38.14</v>
      </c>
      <c r="AF27" s="262"/>
      <c r="AG27" s="528">
        <v>19</v>
      </c>
      <c r="AH27" s="526">
        <v>27.73</v>
      </c>
      <c r="AI27" s="529">
        <v>38.82</v>
      </c>
      <c r="AJ27" s="262"/>
      <c r="AK27" s="528">
        <v>19</v>
      </c>
      <c r="AL27" s="526">
        <v>28.22</v>
      </c>
      <c r="AM27" s="529">
        <v>39.5</v>
      </c>
      <c r="AN27" s="262"/>
      <c r="AO27" s="528">
        <v>19</v>
      </c>
      <c r="AP27" s="526">
        <v>28.7</v>
      </c>
      <c r="AQ27" s="529">
        <v>40.19</v>
      </c>
      <c r="AR27" s="262"/>
      <c r="AS27" s="528">
        <v>19</v>
      </c>
      <c r="AT27" s="526">
        <v>29.19</v>
      </c>
      <c r="AU27" s="529">
        <v>40.869999999999997</v>
      </c>
      <c r="AV27" s="262"/>
      <c r="AW27" s="528">
        <v>19</v>
      </c>
      <c r="AX27" s="526">
        <v>29.68</v>
      </c>
      <c r="AY27" s="529">
        <v>41.55</v>
      </c>
      <c r="AZ27" s="262"/>
      <c r="BA27" s="528">
        <v>19</v>
      </c>
      <c r="BB27" s="526">
        <v>30.17</v>
      </c>
      <c r="BC27" s="529">
        <v>42.24</v>
      </c>
      <c r="BD27" s="262"/>
      <c r="BE27" s="528">
        <v>19</v>
      </c>
      <c r="BF27" s="526">
        <v>30.66</v>
      </c>
      <c r="BG27" s="529">
        <v>42.92</v>
      </c>
      <c r="BH27" s="262"/>
      <c r="BI27" s="528">
        <v>19</v>
      </c>
      <c r="BJ27" s="526">
        <v>31.15</v>
      </c>
      <c r="BK27" s="529">
        <v>43.6</v>
      </c>
      <c r="BL27" s="262"/>
      <c r="BP27" s="280"/>
    </row>
    <row r="28" spans="1:68" ht="23.25">
      <c r="A28" s="269">
        <v>20</v>
      </c>
      <c r="B28" s="1437">
        <f t="shared" si="0"/>
        <v>27.61</v>
      </c>
      <c r="C28" s="1438">
        <f t="shared" si="1"/>
        <v>38.659999999999997</v>
      </c>
      <c r="D28" s="262"/>
      <c r="E28" s="1413">
        <v>20</v>
      </c>
      <c r="F28" s="1411">
        <v>25.56</v>
      </c>
      <c r="G28" s="1414">
        <v>35.78</v>
      </c>
      <c r="H28" s="1401"/>
      <c r="I28" s="1413">
        <v>20</v>
      </c>
      <c r="J28" s="1411">
        <v>26.07</v>
      </c>
      <c r="K28" s="1414">
        <v>36.5</v>
      </c>
      <c r="L28" s="262"/>
      <c r="M28" s="528">
        <v>20</v>
      </c>
      <c r="N28" s="569">
        <v>26.58</v>
      </c>
      <c r="O28" s="569">
        <v>37.22</v>
      </c>
      <c r="P28" s="262"/>
      <c r="Q28" s="528">
        <v>20</v>
      </c>
      <c r="R28" s="569">
        <v>27.1</v>
      </c>
      <c r="S28" s="569">
        <v>37.94</v>
      </c>
      <c r="T28" s="262"/>
      <c r="U28" s="528">
        <v>20</v>
      </c>
      <c r="V28" s="569">
        <v>27.61</v>
      </c>
      <c r="W28" s="569">
        <v>38.659999999999997</v>
      </c>
      <c r="X28" s="262"/>
      <c r="Y28" s="528">
        <v>20</v>
      </c>
      <c r="Z28" s="526">
        <v>28.13</v>
      </c>
      <c r="AA28" s="529">
        <v>39.380000000000003</v>
      </c>
      <c r="AB28" s="262"/>
      <c r="AC28" s="528">
        <v>20</v>
      </c>
      <c r="AD28" s="526">
        <v>28.64</v>
      </c>
      <c r="AE28" s="529">
        <v>40.1</v>
      </c>
      <c r="AF28" s="262"/>
      <c r="AG28" s="528">
        <v>20</v>
      </c>
      <c r="AH28" s="526">
        <v>29.15</v>
      </c>
      <c r="AI28" s="529">
        <v>40.82</v>
      </c>
      <c r="AJ28" s="262"/>
      <c r="AK28" s="528">
        <v>20</v>
      </c>
      <c r="AL28" s="526">
        <v>29.67</v>
      </c>
      <c r="AM28" s="529">
        <v>41.54</v>
      </c>
      <c r="AN28" s="262"/>
      <c r="AO28" s="528">
        <v>20</v>
      </c>
      <c r="AP28" s="526">
        <v>30.18</v>
      </c>
      <c r="AQ28" s="529">
        <v>42.26</v>
      </c>
      <c r="AR28" s="262"/>
      <c r="AS28" s="528">
        <v>20</v>
      </c>
      <c r="AT28" s="526">
        <v>30.7</v>
      </c>
      <c r="AU28" s="529">
        <v>42.98</v>
      </c>
      <c r="AV28" s="262"/>
      <c r="AW28" s="528">
        <v>20</v>
      </c>
      <c r="AX28" s="526">
        <v>31.21</v>
      </c>
      <c r="AY28" s="529">
        <v>43.7</v>
      </c>
      <c r="AZ28" s="262"/>
      <c r="BA28" s="528">
        <v>20</v>
      </c>
      <c r="BB28" s="526">
        <v>31.72</v>
      </c>
      <c r="BC28" s="529">
        <v>44.41</v>
      </c>
      <c r="BD28" s="262"/>
      <c r="BE28" s="528">
        <v>20</v>
      </c>
      <c r="BF28" s="526">
        <v>32.24</v>
      </c>
      <c r="BG28" s="529">
        <v>45.13</v>
      </c>
      <c r="BH28" s="262"/>
      <c r="BI28" s="528">
        <v>20</v>
      </c>
      <c r="BJ28" s="526">
        <v>32.75</v>
      </c>
      <c r="BK28" s="529">
        <v>45.85</v>
      </c>
      <c r="BL28" s="262"/>
      <c r="BP28" s="280"/>
    </row>
    <row r="29" spans="1:68" ht="23.25">
      <c r="A29" s="269">
        <v>21</v>
      </c>
      <c r="B29" s="1437">
        <f t="shared" si="0"/>
        <v>28.96</v>
      </c>
      <c r="C29" s="1438">
        <f t="shared" si="1"/>
        <v>40.549999999999997</v>
      </c>
      <c r="D29" s="262"/>
      <c r="E29" s="1413">
        <v>21</v>
      </c>
      <c r="F29" s="1411">
        <v>26.8</v>
      </c>
      <c r="G29" s="1414">
        <v>37.53</v>
      </c>
      <c r="H29" s="1401"/>
      <c r="I29" s="1413">
        <v>21</v>
      </c>
      <c r="J29" s="1411">
        <v>27.34</v>
      </c>
      <c r="K29" s="1414">
        <v>38.28</v>
      </c>
      <c r="L29" s="262"/>
      <c r="M29" s="528">
        <v>21</v>
      </c>
      <c r="N29" s="569">
        <v>27.88</v>
      </c>
      <c r="O29" s="569">
        <v>39.04</v>
      </c>
      <c r="P29" s="262"/>
      <c r="Q29" s="528">
        <v>21</v>
      </c>
      <c r="R29" s="569">
        <v>28.42</v>
      </c>
      <c r="S29" s="569">
        <v>39.79</v>
      </c>
      <c r="T29" s="262"/>
      <c r="U29" s="528">
        <v>21</v>
      </c>
      <c r="V29" s="569">
        <v>28.96</v>
      </c>
      <c r="W29" s="569">
        <v>40.549999999999997</v>
      </c>
      <c r="X29" s="262"/>
      <c r="Y29" s="528">
        <v>21</v>
      </c>
      <c r="Z29" s="526">
        <v>29.5</v>
      </c>
      <c r="AA29" s="529">
        <v>41.3</v>
      </c>
      <c r="AB29" s="262"/>
      <c r="AC29" s="528">
        <v>21</v>
      </c>
      <c r="AD29" s="526">
        <v>30.04</v>
      </c>
      <c r="AE29" s="529">
        <v>42.06</v>
      </c>
      <c r="AF29" s="262"/>
      <c r="AG29" s="528">
        <v>21</v>
      </c>
      <c r="AH29" s="526">
        <v>30.58</v>
      </c>
      <c r="AI29" s="529">
        <v>42.82</v>
      </c>
      <c r="AJ29" s="262"/>
      <c r="AK29" s="528">
        <v>21</v>
      </c>
      <c r="AL29" s="526">
        <v>31.12</v>
      </c>
      <c r="AM29" s="529">
        <v>43.57</v>
      </c>
      <c r="AN29" s="262"/>
      <c r="AO29" s="528">
        <v>21</v>
      </c>
      <c r="AP29" s="526">
        <v>31.66</v>
      </c>
      <c r="AQ29" s="529">
        <v>44.33</v>
      </c>
      <c r="AR29" s="262"/>
      <c r="AS29" s="528">
        <v>21</v>
      </c>
      <c r="AT29" s="526">
        <v>32.200000000000003</v>
      </c>
      <c r="AU29" s="529">
        <v>45.08</v>
      </c>
      <c r="AV29" s="262"/>
      <c r="AW29" s="528">
        <v>21</v>
      </c>
      <c r="AX29" s="526">
        <v>32.74</v>
      </c>
      <c r="AY29" s="529">
        <v>45.84</v>
      </c>
      <c r="AZ29" s="262"/>
      <c r="BA29" s="528">
        <v>21</v>
      </c>
      <c r="BB29" s="526">
        <v>33.28</v>
      </c>
      <c r="BC29" s="529">
        <v>46.59</v>
      </c>
      <c r="BD29" s="262"/>
      <c r="BE29" s="528">
        <v>21</v>
      </c>
      <c r="BF29" s="526">
        <v>33.82</v>
      </c>
      <c r="BG29" s="529">
        <v>47.35</v>
      </c>
      <c r="BH29" s="262"/>
      <c r="BI29" s="528">
        <v>21</v>
      </c>
      <c r="BJ29" s="526">
        <v>34.36</v>
      </c>
      <c r="BK29" s="529">
        <v>48.1</v>
      </c>
      <c r="BL29" s="262"/>
      <c r="BP29" s="280"/>
    </row>
    <row r="30" spans="1:68" ht="23.25">
      <c r="A30" s="269">
        <v>22</v>
      </c>
      <c r="B30" s="1437">
        <f t="shared" si="0"/>
        <v>30.31</v>
      </c>
      <c r="C30" s="1438">
        <f t="shared" si="1"/>
        <v>42.43</v>
      </c>
      <c r="D30" s="262"/>
      <c r="E30" s="1413">
        <v>22</v>
      </c>
      <c r="F30" s="1411">
        <v>28.05</v>
      </c>
      <c r="G30" s="1414">
        <v>39.270000000000003</v>
      </c>
      <c r="H30" s="1401"/>
      <c r="I30" s="1413">
        <v>22</v>
      </c>
      <c r="J30" s="1411">
        <v>28.61</v>
      </c>
      <c r="K30" s="1414">
        <v>40.06</v>
      </c>
      <c r="L30" s="262"/>
      <c r="M30" s="528">
        <v>22</v>
      </c>
      <c r="N30" s="569">
        <v>29.18</v>
      </c>
      <c r="O30" s="569">
        <v>40.85</v>
      </c>
      <c r="P30" s="262"/>
      <c r="Q30" s="528">
        <v>22</v>
      </c>
      <c r="R30" s="569">
        <v>29.75</v>
      </c>
      <c r="S30" s="569">
        <v>41.64</v>
      </c>
      <c r="T30" s="262"/>
      <c r="U30" s="528">
        <v>22</v>
      </c>
      <c r="V30" s="569">
        <v>30.31</v>
      </c>
      <c r="W30" s="569">
        <v>42.43</v>
      </c>
      <c r="X30" s="262"/>
      <c r="Y30" s="528">
        <v>22</v>
      </c>
      <c r="Z30" s="526">
        <v>30.88</v>
      </c>
      <c r="AA30" s="529">
        <v>43.23</v>
      </c>
      <c r="AB30" s="262"/>
      <c r="AC30" s="528">
        <v>22</v>
      </c>
      <c r="AD30" s="526">
        <v>31.44</v>
      </c>
      <c r="AE30" s="529">
        <v>44.02</v>
      </c>
      <c r="AF30" s="262"/>
      <c r="AG30" s="528">
        <v>22</v>
      </c>
      <c r="AH30" s="526">
        <v>32.01</v>
      </c>
      <c r="AI30" s="529">
        <v>44.81</v>
      </c>
      <c r="AJ30" s="262"/>
      <c r="AK30" s="528">
        <v>22</v>
      </c>
      <c r="AL30" s="526">
        <v>32.57</v>
      </c>
      <c r="AM30" s="529">
        <v>45.6</v>
      </c>
      <c r="AN30" s="262"/>
      <c r="AO30" s="528">
        <v>22</v>
      </c>
      <c r="AP30" s="526">
        <v>33.14</v>
      </c>
      <c r="AQ30" s="529">
        <v>46.39</v>
      </c>
      <c r="AR30" s="262"/>
      <c r="AS30" s="528">
        <v>22</v>
      </c>
      <c r="AT30" s="526">
        <v>33.700000000000003</v>
      </c>
      <c r="AU30" s="529">
        <v>47.18</v>
      </c>
      <c r="AV30" s="262"/>
      <c r="AW30" s="528">
        <v>22</v>
      </c>
      <c r="AX30" s="526">
        <v>34.270000000000003</v>
      </c>
      <c r="AY30" s="529">
        <v>47.98</v>
      </c>
      <c r="AZ30" s="262"/>
      <c r="BA30" s="528">
        <v>22</v>
      </c>
      <c r="BB30" s="526">
        <v>34.83</v>
      </c>
      <c r="BC30" s="529">
        <v>48.77</v>
      </c>
      <c r="BD30" s="262"/>
      <c r="BE30" s="528">
        <v>22</v>
      </c>
      <c r="BF30" s="526">
        <v>35.4</v>
      </c>
      <c r="BG30" s="529">
        <v>49.56</v>
      </c>
      <c r="BH30" s="262"/>
      <c r="BI30" s="528">
        <v>22</v>
      </c>
      <c r="BJ30" s="526">
        <v>35.96</v>
      </c>
      <c r="BK30" s="529">
        <v>50.35</v>
      </c>
      <c r="BL30" s="262"/>
      <c r="BP30" s="280"/>
    </row>
    <row r="31" spans="1:68" ht="23.25">
      <c r="A31" s="269">
        <v>23</v>
      </c>
      <c r="B31" s="1437">
        <f t="shared" si="0"/>
        <v>31.66</v>
      </c>
      <c r="C31" s="1438">
        <f t="shared" si="1"/>
        <v>44.33</v>
      </c>
      <c r="D31" s="262"/>
      <c r="E31" s="1413">
        <v>23</v>
      </c>
      <c r="F31" s="1411">
        <v>29.3</v>
      </c>
      <c r="G31" s="1414">
        <v>41.02</v>
      </c>
      <c r="H31" s="1401"/>
      <c r="I31" s="1413">
        <v>23</v>
      </c>
      <c r="J31" s="1411">
        <v>29.89</v>
      </c>
      <c r="K31" s="1414">
        <v>41.85</v>
      </c>
      <c r="L31" s="262"/>
      <c r="M31" s="528">
        <v>23</v>
      </c>
      <c r="N31" s="569">
        <v>30.48</v>
      </c>
      <c r="O31" s="569">
        <v>42.67</v>
      </c>
      <c r="P31" s="262"/>
      <c r="Q31" s="528">
        <v>23</v>
      </c>
      <c r="R31" s="569">
        <v>31.07</v>
      </c>
      <c r="S31" s="569">
        <v>43.5</v>
      </c>
      <c r="T31" s="262"/>
      <c r="U31" s="528">
        <v>23</v>
      </c>
      <c r="V31" s="569">
        <v>31.66</v>
      </c>
      <c r="W31" s="569">
        <v>44.33</v>
      </c>
      <c r="X31" s="262"/>
      <c r="Y31" s="528">
        <v>23</v>
      </c>
      <c r="Z31" s="526">
        <v>32.25</v>
      </c>
      <c r="AA31" s="529">
        <v>45.16</v>
      </c>
      <c r="AB31" s="262"/>
      <c r="AC31" s="528">
        <v>23</v>
      </c>
      <c r="AD31" s="526">
        <v>32.85</v>
      </c>
      <c r="AE31" s="529">
        <v>45.98</v>
      </c>
      <c r="AF31" s="262"/>
      <c r="AG31" s="528">
        <v>23</v>
      </c>
      <c r="AH31" s="526">
        <v>33.44</v>
      </c>
      <c r="AI31" s="529">
        <v>46.81</v>
      </c>
      <c r="AJ31" s="262"/>
      <c r="AK31" s="528">
        <v>23</v>
      </c>
      <c r="AL31" s="526">
        <v>34.03</v>
      </c>
      <c r="AM31" s="529">
        <v>47.64</v>
      </c>
      <c r="AN31" s="262"/>
      <c r="AO31" s="528">
        <v>23</v>
      </c>
      <c r="AP31" s="526">
        <v>34.619999999999997</v>
      </c>
      <c r="AQ31" s="529">
        <v>48.47</v>
      </c>
      <c r="AR31" s="262"/>
      <c r="AS31" s="528">
        <v>23</v>
      </c>
      <c r="AT31" s="526">
        <v>35.21</v>
      </c>
      <c r="AU31" s="529">
        <v>49.29</v>
      </c>
      <c r="AV31" s="262"/>
      <c r="AW31" s="528">
        <v>23</v>
      </c>
      <c r="AX31" s="526">
        <v>35.799999999999997</v>
      </c>
      <c r="AY31" s="529">
        <v>50.12</v>
      </c>
      <c r="AZ31" s="262"/>
      <c r="BA31" s="528">
        <v>23</v>
      </c>
      <c r="BB31" s="526">
        <v>36.39</v>
      </c>
      <c r="BC31" s="529">
        <v>50.95</v>
      </c>
      <c r="BD31" s="262"/>
      <c r="BE31" s="528">
        <v>23</v>
      </c>
      <c r="BF31" s="526">
        <v>36.979999999999997</v>
      </c>
      <c r="BG31" s="529">
        <v>51.78</v>
      </c>
      <c r="BH31" s="262"/>
      <c r="BI31" s="528">
        <v>23</v>
      </c>
      <c r="BJ31" s="526">
        <v>37.57</v>
      </c>
      <c r="BK31" s="529">
        <v>52.6</v>
      </c>
      <c r="BL31" s="262"/>
      <c r="BP31" s="280"/>
    </row>
    <row r="32" spans="1:68" ht="23.25">
      <c r="A32" s="269">
        <v>24</v>
      </c>
      <c r="B32" s="1437">
        <f t="shared" si="0"/>
        <v>33.01</v>
      </c>
      <c r="C32" s="1438">
        <f t="shared" si="1"/>
        <v>46.21</v>
      </c>
      <c r="D32" s="262"/>
      <c r="E32" s="1413">
        <v>24</v>
      </c>
      <c r="F32" s="1411">
        <v>30.54</v>
      </c>
      <c r="G32" s="1414">
        <v>42.76</v>
      </c>
      <c r="H32" s="1401"/>
      <c r="I32" s="1413">
        <v>24</v>
      </c>
      <c r="J32" s="1411">
        <v>31.16</v>
      </c>
      <c r="K32" s="1414">
        <v>43.62</v>
      </c>
      <c r="L32" s="262"/>
      <c r="M32" s="528">
        <v>24</v>
      </c>
      <c r="N32" s="569">
        <v>31.78</v>
      </c>
      <c r="O32" s="569">
        <v>44.49</v>
      </c>
      <c r="P32" s="262"/>
      <c r="Q32" s="528">
        <v>24</v>
      </c>
      <c r="R32" s="569">
        <v>32.39</v>
      </c>
      <c r="S32" s="569">
        <v>45.35</v>
      </c>
      <c r="T32" s="262"/>
      <c r="U32" s="528">
        <v>24</v>
      </c>
      <c r="V32" s="569">
        <v>33.01</v>
      </c>
      <c r="W32" s="569">
        <v>46.21</v>
      </c>
      <c r="X32" s="262"/>
      <c r="Y32" s="528">
        <v>24</v>
      </c>
      <c r="Z32" s="526">
        <v>33.630000000000003</v>
      </c>
      <c r="AA32" s="529">
        <v>47.08</v>
      </c>
      <c r="AB32" s="262"/>
      <c r="AC32" s="528">
        <v>24</v>
      </c>
      <c r="AD32" s="526">
        <v>34.24</v>
      </c>
      <c r="AE32" s="529">
        <v>47.94</v>
      </c>
      <c r="AF32" s="262"/>
      <c r="AG32" s="528">
        <v>24</v>
      </c>
      <c r="AH32" s="526">
        <v>34.86</v>
      </c>
      <c r="AI32" s="529">
        <v>48.8</v>
      </c>
      <c r="AJ32" s="262"/>
      <c r="AK32" s="528">
        <v>24</v>
      </c>
      <c r="AL32" s="526">
        <v>35.479999999999997</v>
      </c>
      <c r="AM32" s="529">
        <v>49.67</v>
      </c>
      <c r="AN32" s="262"/>
      <c r="AO32" s="528">
        <v>24</v>
      </c>
      <c r="AP32" s="526">
        <v>36.090000000000003</v>
      </c>
      <c r="AQ32" s="529">
        <v>50.53</v>
      </c>
      <c r="AR32" s="262"/>
      <c r="AS32" s="528">
        <v>24</v>
      </c>
      <c r="AT32" s="526">
        <v>36.71</v>
      </c>
      <c r="AU32" s="529">
        <v>51.4</v>
      </c>
      <c r="AV32" s="262"/>
      <c r="AW32" s="528">
        <v>24</v>
      </c>
      <c r="AX32" s="526">
        <v>37.33</v>
      </c>
      <c r="AY32" s="529">
        <v>52.26</v>
      </c>
      <c r="AZ32" s="262"/>
      <c r="BA32" s="528">
        <v>24</v>
      </c>
      <c r="BB32" s="526">
        <v>37.94</v>
      </c>
      <c r="BC32" s="529">
        <v>53.12</v>
      </c>
      <c r="BD32" s="262"/>
      <c r="BE32" s="528">
        <v>24</v>
      </c>
      <c r="BF32" s="526">
        <v>38.56</v>
      </c>
      <c r="BG32" s="529">
        <v>53.99</v>
      </c>
      <c r="BH32" s="262"/>
      <c r="BI32" s="528">
        <v>24</v>
      </c>
      <c r="BJ32" s="526">
        <v>39.18</v>
      </c>
      <c r="BK32" s="529">
        <v>54.85</v>
      </c>
      <c r="BL32" s="262"/>
      <c r="BP32" s="280"/>
    </row>
    <row r="33" spans="1:68" ht="23.25">
      <c r="A33" s="269">
        <v>25</v>
      </c>
      <c r="B33" s="1437">
        <f t="shared" si="0"/>
        <v>34.36</v>
      </c>
      <c r="C33" s="1438">
        <f t="shared" si="1"/>
        <v>48.11</v>
      </c>
      <c r="D33" s="262"/>
      <c r="E33" s="1413">
        <v>25</v>
      </c>
      <c r="F33" s="1411">
        <v>31.79</v>
      </c>
      <c r="G33" s="1414">
        <v>44.51</v>
      </c>
      <c r="H33" s="1401"/>
      <c r="I33" s="1413">
        <v>25</v>
      </c>
      <c r="J33" s="1411">
        <v>32.43</v>
      </c>
      <c r="K33" s="1414">
        <v>45.41</v>
      </c>
      <c r="L33" s="262"/>
      <c r="M33" s="528">
        <v>25</v>
      </c>
      <c r="N33" s="569">
        <v>33.08</v>
      </c>
      <c r="O33" s="569">
        <v>46.31</v>
      </c>
      <c r="P33" s="262"/>
      <c r="Q33" s="528">
        <v>25</v>
      </c>
      <c r="R33" s="569">
        <v>33.72</v>
      </c>
      <c r="S33" s="569">
        <v>47.21</v>
      </c>
      <c r="T33" s="262"/>
      <c r="U33" s="528">
        <v>25</v>
      </c>
      <c r="V33" s="569">
        <v>34.36</v>
      </c>
      <c r="W33" s="569">
        <v>48.11</v>
      </c>
      <c r="X33" s="262"/>
      <c r="Y33" s="528">
        <v>25</v>
      </c>
      <c r="Z33" s="526">
        <v>35</v>
      </c>
      <c r="AA33" s="529">
        <v>49.01</v>
      </c>
      <c r="AB33" s="262"/>
      <c r="AC33" s="528">
        <v>25</v>
      </c>
      <c r="AD33" s="526">
        <v>35.65</v>
      </c>
      <c r="AE33" s="529">
        <v>49.9</v>
      </c>
      <c r="AF33" s="262"/>
      <c r="AG33" s="528">
        <v>25</v>
      </c>
      <c r="AH33" s="526">
        <v>36.29</v>
      </c>
      <c r="AI33" s="529">
        <v>50.8</v>
      </c>
      <c r="AJ33" s="262"/>
      <c r="AK33" s="528">
        <v>25</v>
      </c>
      <c r="AL33" s="526">
        <v>36.93</v>
      </c>
      <c r="AM33" s="529">
        <v>51.7</v>
      </c>
      <c r="AN33" s="262"/>
      <c r="AO33" s="528">
        <v>25</v>
      </c>
      <c r="AP33" s="526">
        <v>37.57</v>
      </c>
      <c r="AQ33" s="529">
        <v>52.6</v>
      </c>
      <c r="AR33" s="262"/>
      <c r="AS33" s="528">
        <v>25</v>
      </c>
      <c r="AT33" s="526">
        <v>38.22</v>
      </c>
      <c r="AU33" s="529">
        <v>53.5</v>
      </c>
      <c r="AV33" s="262"/>
      <c r="AW33" s="528">
        <v>25</v>
      </c>
      <c r="AX33" s="526">
        <v>38.86</v>
      </c>
      <c r="AY33" s="529">
        <v>54.4</v>
      </c>
      <c r="AZ33" s="262"/>
      <c r="BA33" s="528">
        <v>25</v>
      </c>
      <c r="BB33" s="526">
        <v>39.5</v>
      </c>
      <c r="BC33" s="529">
        <v>55.3</v>
      </c>
      <c r="BD33" s="262"/>
      <c r="BE33" s="528">
        <v>25</v>
      </c>
      <c r="BF33" s="526">
        <v>40.14</v>
      </c>
      <c r="BG33" s="529">
        <v>56.2</v>
      </c>
      <c r="BH33" s="262"/>
      <c r="BI33" s="528">
        <v>25</v>
      </c>
      <c r="BJ33" s="526">
        <v>40.79</v>
      </c>
      <c r="BK33" s="529">
        <v>57.1</v>
      </c>
      <c r="BL33" s="262"/>
      <c r="BP33" s="280"/>
    </row>
    <row r="34" spans="1:68" ht="23.25">
      <c r="A34" s="269">
        <v>26</v>
      </c>
      <c r="B34" s="1437">
        <f t="shared" si="0"/>
        <v>35.71</v>
      </c>
      <c r="C34" s="1438">
        <f t="shared" si="1"/>
        <v>49.99</v>
      </c>
      <c r="D34" s="262"/>
      <c r="E34" s="1413">
        <v>26</v>
      </c>
      <c r="F34" s="1411">
        <v>33.04</v>
      </c>
      <c r="G34" s="1414">
        <v>46.25</v>
      </c>
      <c r="H34" s="1401"/>
      <c r="I34" s="1413">
        <v>26</v>
      </c>
      <c r="J34" s="1411">
        <v>33.700000000000003</v>
      </c>
      <c r="K34" s="1414">
        <v>47.19</v>
      </c>
      <c r="L34" s="262"/>
      <c r="M34" s="528">
        <v>26</v>
      </c>
      <c r="N34" s="569">
        <v>34.369999999999997</v>
      </c>
      <c r="O34" s="569">
        <v>48.12</v>
      </c>
      <c r="P34" s="262"/>
      <c r="Q34" s="528">
        <v>26</v>
      </c>
      <c r="R34" s="569">
        <v>35.04</v>
      </c>
      <c r="S34" s="569">
        <v>49.06</v>
      </c>
      <c r="T34" s="262"/>
      <c r="U34" s="528">
        <v>26</v>
      </c>
      <c r="V34" s="569">
        <v>35.71</v>
      </c>
      <c r="W34" s="569">
        <v>49.99</v>
      </c>
      <c r="X34" s="262"/>
      <c r="Y34" s="528">
        <v>26</v>
      </c>
      <c r="Z34" s="526">
        <v>36.380000000000003</v>
      </c>
      <c r="AA34" s="529">
        <v>50.93</v>
      </c>
      <c r="AB34" s="262"/>
      <c r="AC34" s="528">
        <v>26</v>
      </c>
      <c r="AD34" s="526">
        <v>37.04</v>
      </c>
      <c r="AE34" s="529">
        <v>51.86</v>
      </c>
      <c r="AF34" s="262"/>
      <c r="AG34" s="528">
        <v>26</v>
      </c>
      <c r="AH34" s="526">
        <v>37.71</v>
      </c>
      <c r="AI34" s="529">
        <v>52.8</v>
      </c>
      <c r="AJ34" s="262"/>
      <c r="AK34" s="528">
        <v>26</v>
      </c>
      <c r="AL34" s="526">
        <v>38.380000000000003</v>
      </c>
      <c r="AM34" s="529">
        <v>53.73</v>
      </c>
      <c r="AN34" s="262"/>
      <c r="AO34" s="528">
        <v>26</v>
      </c>
      <c r="AP34" s="526">
        <v>39.049999999999997</v>
      </c>
      <c r="AQ34" s="529">
        <v>54.67</v>
      </c>
      <c r="AR34" s="262"/>
      <c r="AS34" s="528">
        <v>26</v>
      </c>
      <c r="AT34" s="526">
        <v>39.72</v>
      </c>
      <c r="AU34" s="529">
        <v>55.6</v>
      </c>
      <c r="AV34" s="262"/>
      <c r="AW34" s="528">
        <v>26</v>
      </c>
      <c r="AX34" s="526">
        <v>40.39</v>
      </c>
      <c r="AY34" s="529">
        <v>56.54</v>
      </c>
      <c r="AZ34" s="262"/>
      <c r="BA34" s="528">
        <v>26</v>
      </c>
      <c r="BB34" s="526">
        <v>41.05</v>
      </c>
      <c r="BC34" s="529">
        <v>57.48</v>
      </c>
      <c r="BD34" s="262"/>
      <c r="BE34" s="528">
        <v>26</v>
      </c>
      <c r="BF34" s="526">
        <v>41.72</v>
      </c>
      <c r="BG34" s="529">
        <v>58.41</v>
      </c>
      <c r="BH34" s="262"/>
      <c r="BI34" s="528">
        <v>26</v>
      </c>
      <c r="BJ34" s="526">
        <v>42.39</v>
      </c>
      <c r="BK34" s="529">
        <v>59.35</v>
      </c>
      <c r="BL34" s="262"/>
      <c r="BP34" s="280"/>
    </row>
    <row r="35" spans="1:68" ht="23.25">
      <c r="A35" s="269">
        <v>27</v>
      </c>
      <c r="B35" s="1437">
        <f t="shared" si="0"/>
        <v>37.06</v>
      </c>
      <c r="C35" s="1438">
        <f t="shared" si="1"/>
        <v>51.88</v>
      </c>
      <c r="D35" s="262"/>
      <c r="E35" s="1413">
        <v>27</v>
      </c>
      <c r="F35" s="1411">
        <v>34.28</v>
      </c>
      <c r="G35" s="1414">
        <v>48</v>
      </c>
      <c r="H35" s="1401"/>
      <c r="I35" s="1413">
        <v>27</v>
      </c>
      <c r="J35" s="1411">
        <v>34.979999999999997</v>
      </c>
      <c r="K35" s="1414">
        <v>48.97</v>
      </c>
      <c r="L35" s="262"/>
      <c r="M35" s="528">
        <v>27</v>
      </c>
      <c r="N35" s="569">
        <v>35.67</v>
      </c>
      <c r="O35" s="569">
        <v>49.94</v>
      </c>
      <c r="P35" s="262"/>
      <c r="Q35" s="528">
        <v>27</v>
      </c>
      <c r="R35" s="569">
        <v>36.36</v>
      </c>
      <c r="S35" s="569">
        <v>50.91</v>
      </c>
      <c r="T35" s="262"/>
      <c r="U35" s="528">
        <v>27</v>
      </c>
      <c r="V35" s="569">
        <v>37.06</v>
      </c>
      <c r="W35" s="569">
        <v>51.88</v>
      </c>
      <c r="X35" s="262"/>
      <c r="Y35" s="528">
        <v>27</v>
      </c>
      <c r="Z35" s="526">
        <v>37.75</v>
      </c>
      <c r="AA35" s="529">
        <v>52.85</v>
      </c>
      <c r="AB35" s="262"/>
      <c r="AC35" s="528">
        <v>27</v>
      </c>
      <c r="AD35" s="526">
        <v>38.450000000000003</v>
      </c>
      <c r="AE35" s="529">
        <v>53.82</v>
      </c>
      <c r="AF35" s="262"/>
      <c r="AG35" s="528">
        <v>27</v>
      </c>
      <c r="AH35" s="526">
        <v>39.14</v>
      </c>
      <c r="AI35" s="529">
        <v>54.8</v>
      </c>
      <c r="AJ35" s="262"/>
      <c r="AK35" s="528">
        <v>27</v>
      </c>
      <c r="AL35" s="526">
        <v>39.83</v>
      </c>
      <c r="AM35" s="529">
        <v>55.77</v>
      </c>
      <c r="AN35" s="262"/>
      <c r="AO35" s="528">
        <v>27</v>
      </c>
      <c r="AP35" s="526">
        <v>40.53</v>
      </c>
      <c r="AQ35" s="529">
        <v>56.74</v>
      </c>
      <c r="AR35" s="262"/>
      <c r="AS35" s="528">
        <v>27</v>
      </c>
      <c r="AT35" s="526">
        <v>41.22</v>
      </c>
      <c r="AU35" s="529">
        <v>57.71</v>
      </c>
      <c r="AV35" s="262"/>
      <c r="AW35" s="528">
        <v>27</v>
      </c>
      <c r="AX35" s="526">
        <v>41.92</v>
      </c>
      <c r="AY35" s="529">
        <v>58.68</v>
      </c>
      <c r="AZ35" s="262"/>
      <c r="BA35" s="528">
        <v>27</v>
      </c>
      <c r="BB35" s="526">
        <v>42.61</v>
      </c>
      <c r="BC35" s="529">
        <v>59.65</v>
      </c>
      <c r="BD35" s="262"/>
      <c r="BE35" s="528">
        <v>27</v>
      </c>
      <c r="BF35" s="526">
        <v>43.3</v>
      </c>
      <c r="BG35" s="529">
        <v>60.62</v>
      </c>
      <c r="BH35" s="262"/>
      <c r="BI35" s="528">
        <v>27</v>
      </c>
      <c r="BJ35" s="526">
        <v>44</v>
      </c>
      <c r="BK35" s="529">
        <v>61.6</v>
      </c>
      <c r="BL35" s="262"/>
      <c r="BP35" s="280"/>
    </row>
    <row r="36" spans="1:68" ht="23.25">
      <c r="A36" s="269">
        <v>28</v>
      </c>
      <c r="B36" s="1437">
        <f t="shared" si="0"/>
        <v>38.409999999999997</v>
      </c>
      <c r="C36" s="1438">
        <f t="shared" si="1"/>
        <v>53.78</v>
      </c>
      <c r="D36" s="262"/>
      <c r="E36" s="1413">
        <v>28</v>
      </c>
      <c r="F36" s="1411">
        <v>35.53</v>
      </c>
      <c r="G36" s="1414">
        <v>49.75</v>
      </c>
      <c r="H36" s="1401"/>
      <c r="I36" s="1413">
        <v>28</v>
      </c>
      <c r="J36" s="1411">
        <v>36.25</v>
      </c>
      <c r="K36" s="1414">
        <v>50.75</v>
      </c>
      <c r="L36" s="262"/>
      <c r="M36" s="528">
        <v>28</v>
      </c>
      <c r="N36" s="569">
        <v>36.97</v>
      </c>
      <c r="O36" s="569">
        <v>51.76</v>
      </c>
      <c r="P36" s="262"/>
      <c r="Q36" s="528">
        <v>28</v>
      </c>
      <c r="R36" s="569">
        <v>37.69</v>
      </c>
      <c r="S36" s="569">
        <v>52.77</v>
      </c>
      <c r="T36" s="262"/>
      <c r="U36" s="528">
        <v>28</v>
      </c>
      <c r="V36" s="569">
        <v>38.409999999999997</v>
      </c>
      <c r="W36" s="569">
        <v>53.78</v>
      </c>
      <c r="X36" s="262"/>
      <c r="Y36" s="528">
        <v>28</v>
      </c>
      <c r="Z36" s="526">
        <v>39.130000000000003</v>
      </c>
      <c r="AA36" s="529">
        <v>54.78</v>
      </c>
      <c r="AB36" s="262"/>
      <c r="AC36" s="528">
        <v>28</v>
      </c>
      <c r="AD36" s="526">
        <v>39.85</v>
      </c>
      <c r="AE36" s="529">
        <v>55.79</v>
      </c>
      <c r="AF36" s="262"/>
      <c r="AG36" s="528">
        <v>28</v>
      </c>
      <c r="AH36" s="526">
        <v>40.57</v>
      </c>
      <c r="AI36" s="529">
        <v>56.8</v>
      </c>
      <c r="AJ36" s="262"/>
      <c r="AK36" s="528">
        <v>28</v>
      </c>
      <c r="AL36" s="526">
        <v>41.29</v>
      </c>
      <c r="AM36" s="529">
        <v>57.81</v>
      </c>
      <c r="AN36" s="262"/>
      <c r="AO36" s="528">
        <v>28</v>
      </c>
      <c r="AP36" s="526">
        <v>42.01</v>
      </c>
      <c r="AQ36" s="529">
        <v>58.81</v>
      </c>
      <c r="AR36" s="262"/>
      <c r="AS36" s="528">
        <v>28</v>
      </c>
      <c r="AT36" s="526">
        <v>42.73</v>
      </c>
      <c r="AU36" s="529">
        <v>59.82</v>
      </c>
      <c r="AV36" s="262"/>
      <c r="AW36" s="528">
        <v>28</v>
      </c>
      <c r="AX36" s="526">
        <v>43.45</v>
      </c>
      <c r="AY36" s="529">
        <v>60.83</v>
      </c>
      <c r="AZ36" s="262"/>
      <c r="BA36" s="528">
        <v>28</v>
      </c>
      <c r="BB36" s="526">
        <v>44.17</v>
      </c>
      <c r="BC36" s="529">
        <v>61.84</v>
      </c>
      <c r="BD36" s="262"/>
      <c r="BE36" s="528">
        <v>28</v>
      </c>
      <c r="BF36" s="526">
        <v>44.89</v>
      </c>
      <c r="BG36" s="529">
        <v>62.84</v>
      </c>
      <c r="BH36" s="262"/>
      <c r="BI36" s="528">
        <v>28</v>
      </c>
      <c r="BJ36" s="526">
        <v>45.61</v>
      </c>
      <c r="BK36" s="529">
        <v>63.85</v>
      </c>
      <c r="BL36" s="262"/>
      <c r="BP36" s="280"/>
    </row>
    <row r="37" spans="1:68" ht="23.25">
      <c r="A37" s="269">
        <v>29</v>
      </c>
      <c r="B37" s="1437">
        <f t="shared" si="0"/>
        <v>39.76</v>
      </c>
      <c r="C37" s="1438">
        <f t="shared" si="1"/>
        <v>55.66</v>
      </c>
      <c r="D37" s="262"/>
      <c r="E37" s="1413">
        <v>29</v>
      </c>
      <c r="F37" s="1411">
        <v>36.78</v>
      </c>
      <c r="G37" s="1414">
        <v>51.49</v>
      </c>
      <c r="H37" s="1401"/>
      <c r="I37" s="1413">
        <v>29</v>
      </c>
      <c r="J37" s="1411">
        <v>37.520000000000003</v>
      </c>
      <c r="K37" s="1414">
        <v>52.53</v>
      </c>
      <c r="L37" s="262"/>
      <c r="M37" s="528">
        <v>29</v>
      </c>
      <c r="N37" s="569">
        <v>38.270000000000003</v>
      </c>
      <c r="O37" s="569">
        <v>53.57</v>
      </c>
      <c r="P37" s="262"/>
      <c r="Q37" s="528">
        <v>29</v>
      </c>
      <c r="R37" s="569">
        <v>39.01</v>
      </c>
      <c r="S37" s="569">
        <v>54.62</v>
      </c>
      <c r="T37" s="262"/>
      <c r="U37" s="528">
        <v>29</v>
      </c>
      <c r="V37" s="569">
        <v>39.76</v>
      </c>
      <c r="W37" s="569">
        <v>55.66</v>
      </c>
      <c r="X37" s="262"/>
      <c r="Y37" s="528">
        <v>29</v>
      </c>
      <c r="Z37" s="526">
        <v>40.5</v>
      </c>
      <c r="AA37" s="529">
        <v>56.7</v>
      </c>
      <c r="AB37" s="262"/>
      <c r="AC37" s="528">
        <v>29</v>
      </c>
      <c r="AD37" s="526">
        <v>41.25</v>
      </c>
      <c r="AE37" s="529">
        <v>57.75</v>
      </c>
      <c r="AF37" s="262"/>
      <c r="AG37" s="528">
        <v>29</v>
      </c>
      <c r="AH37" s="526">
        <v>41.99</v>
      </c>
      <c r="AI37" s="529">
        <v>58.79</v>
      </c>
      <c r="AJ37" s="262"/>
      <c r="AK37" s="528">
        <v>29</v>
      </c>
      <c r="AL37" s="526">
        <v>42.74</v>
      </c>
      <c r="AM37" s="529">
        <v>59.83</v>
      </c>
      <c r="AN37" s="262"/>
      <c r="AO37" s="528">
        <v>29</v>
      </c>
      <c r="AP37" s="526">
        <v>43.48</v>
      </c>
      <c r="AQ37" s="529">
        <v>60.88</v>
      </c>
      <c r="AR37" s="262"/>
      <c r="AS37" s="528">
        <v>29</v>
      </c>
      <c r="AT37" s="526">
        <v>44.23</v>
      </c>
      <c r="AU37" s="529">
        <v>61.92</v>
      </c>
      <c r="AV37" s="262"/>
      <c r="AW37" s="528">
        <v>29</v>
      </c>
      <c r="AX37" s="526">
        <v>44.97</v>
      </c>
      <c r="AY37" s="529">
        <v>62.96</v>
      </c>
      <c r="AZ37" s="262"/>
      <c r="BA37" s="528">
        <v>29</v>
      </c>
      <c r="BB37" s="526">
        <v>45.72</v>
      </c>
      <c r="BC37" s="529">
        <v>64.010000000000005</v>
      </c>
      <c r="BD37" s="262"/>
      <c r="BE37" s="528">
        <v>29</v>
      </c>
      <c r="BF37" s="526">
        <v>46.46</v>
      </c>
      <c r="BG37" s="529">
        <v>65.05</v>
      </c>
      <c r="BH37" s="262"/>
      <c r="BI37" s="528">
        <v>29</v>
      </c>
      <c r="BJ37" s="526">
        <v>47.21</v>
      </c>
      <c r="BK37" s="529">
        <v>66.09</v>
      </c>
      <c r="BL37" s="262"/>
      <c r="BP37" s="280"/>
    </row>
    <row r="38" spans="1:68" ht="23.25">
      <c r="A38" s="269">
        <v>30</v>
      </c>
      <c r="B38" s="1437">
        <f t="shared" si="0"/>
        <v>41.11</v>
      </c>
      <c r="C38" s="1438">
        <f t="shared" si="1"/>
        <v>57.55</v>
      </c>
      <c r="D38" s="262"/>
      <c r="E38" s="1413">
        <v>30</v>
      </c>
      <c r="F38" s="1411">
        <v>38.03</v>
      </c>
      <c r="G38" s="1414">
        <v>53.24</v>
      </c>
      <c r="H38" s="1401"/>
      <c r="I38" s="1413">
        <v>30</v>
      </c>
      <c r="J38" s="1411">
        <v>38.799999999999997</v>
      </c>
      <c r="K38" s="1414">
        <v>54.31</v>
      </c>
      <c r="L38" s="262"/>
      <c r="M38" s="528">
        <v>30</v>
      </c>
      <c r="N38" s="569">
        <v>39.57</v>
      </c>
      <c r="O38" s="569">
        <v>55.39</v>
      </c>
      <c r="P38" s="262"/>
      <c r="Q38" s="528">
        <v>30</v>
      </c>
      <c r="R38" s="569">
        <v>40.340000000000003</v>
      </c>
      <c r="S38" s="569">
        <v>56.47</v>
      </c>
      <c r="T38" s="262"/>
      <c r="U38" s="528">
        <v>30</v>
      </c>
      <c r="V38" s="569">
        <v>41.11</v>
      </c>
      <c r="W38" s="569">
        <v>57.55</v>
      </c>
      <c r="X38" s="262"/>
      <c r="Y38" s="528">
        <v>30</v>
      </c>
      <c r="Z38" s="526">
        <v>41.88</v>
      </c>
      <c r="AA38" s="529">
        <v>58.63</v>
      </c>
      <c r="AB38" s="262"/>
      <c r="AC38" s="528">
        <v>30</v>
      </c>
      <c r="AD38" s="526">
        <v>42.65</v>
      </c>
      <c r="AE38" s="529">
        <v>59.71</v>
      </c>
      <c r="AF38" s="262"/>
      <c r="AG38" s="528">
        <v>30</v>
      </c>
      <c r="AH38" s="526">
        <v>43.42</v>
      </c>
      <c r="AI38" s="529">
        <v>60.79</v>
      </c>
      <c r="AJ38" s="262"/>
      <c r="AK38" s="528">
        <v>30</v>
      </c>
      <c r="AL38" s="526">
        <v>44.19</v>
      </c>
      <c r="AM38" s="529">
        <v>61.87</v>
      </c>
      <c r="AN38" s="262"/>
      <c r="AO38" s="528">
        <v>30</v>
      </c>
      <c r="AP38" s="526">
        <v>44.96</v>
      </c>
      <c r="AQ38" s="529">
        <v>62.95</v>
      </c>
      <c r="AR38" s="262"/>
      <c r="AS38" s="528">
        <v>30</v>
      </c>
      <c r="AT38" s="526">
        <v>45.74</v>
      </c>
      <c r="AU38" s="529">
        <v>64.03</v>
      </c>
      <c r="AV38" s="262"/>
      <c r="AW38" s="528">
        <v>30</v>
      </c>
      <c r="AX38" s="526">
        <v>46.51</v>
      </c>
      <c r="AY38" s="529">
        <v>65.11</v>
      </c>
      <c r="AZ38" s="262"/>
      <c r="BA38" s="528">
        <v>30</v>
      </c>
      <c r="BB38" s="526">
        <v>47.28</v>
      </c>
      <c r="BC38" s="529">
        <v>66.19</v>
      </c>
      <c r="BD38" s="262"/>
      <c r="BE38" s="528">
        <v>30</v>
      </c>
      <c r="BF38" s="526">
        <v>48.05</v>
      </c>
      <c r="BG38" s="529">
        <v>67.27</v>
      </c>
      <c r="BH38" s="262"/>
      <c r="BI38" s="528">
        <v>30</v>
      </c>
      <c r="BJ38" s="526">
        <v>48.82</v>
      </c>
      <c r="BK38" s="529">
        <v>68.349999999999994</v>
      </c>
      <c r="BL38" s="262"/>
      <c r="BP38" s="280"/>
    </row>
    <row r="39" spans="1:68" ht="23.25">
      <c r="A39" s="269">
        <v>31</v>
      </c>
      <c r="B39" s="1437">
        <f t="shared" si="0"/>
        <v>42.46</v>
      </c>
      <c r="C39" s="1438">
        <f t="shared" si="1"/>
        <v>59.44</v>
      </c>
      <c r="D39" s="262"/>
      <c r="E39" s="1413">
        <v>31</v>
      </c>
      <c r="F39" s="1411">
        <v>39.270000000000003</v>
      </c>
      <c r="G39" s="1414">
        <v>54.98</v>
      </c>
      <c r="H39" s="1401"/>
      <c r="I39" s="1413">
        <v>31</v>
      </c>
      <c r="J39" s="1411">
        <v>40.07</v>
      </c>
      <c r="K39" s="1414">
        <v>56.09</v>
      </c>
      <c r="L39" s="262"/>
      <c r="M39" s="528">
        <v>31</v>
      </c>
      <c r="N39" s="569">
        <v>40.86</v>
      </c>
      <c r="O39" s="569">
        <v>57.21</v>
      </c>
      <c r="P39" s="262"/>
      <c r="Q39" s="528">
        <v>31</v>
      </c>
      <c r="R39" s="569">
        <v>41.66</v>
      </c>
      <c r="S39" s="569">
        <v>58.33</v>
      </c>
      <c r="T39" s="262"/>
      <c r="U39" s="528">
        <v>31</v>
      </c>
      <c r="V39" s="569">
        <v>42.46</v>
      </c>
      <c r="W39" s="569">
        <v>59.44</v>
      </c>
      <c r="X39" s="262"/>
      <c r="Y39" s="528">
        <v>31</v>
      </c>
      <c r="Z39" s="526">
        <v>43.25</v>
      </c>
      <c r="AA39" s="529">
        <v>60.56</v>
      </c>
      <c r="AB39" s="262"/>
      <c r="AC39" s="528">
        <v>31</v>
      </c>
      <c r="AD39" s="526">
        <v>44.05</v>
      </c>
      <c r="AE39" s="529">
        <v>61.67</v>
      </c>
      <c r="AF39" s="262"/>
      <c r="AG39" s="528">
        <v>31</v>
      </c>
      <c r="AH39" s="526">
        <v>44.85</v>
      </c>
      <c r="AI39" s="529">
        <v>62.79</v>
      </c>
      <c r="AJ39" s="262"/>
      <c r="AK39" s="528">
        <v>31</v>
      </c>
      <c r="AL39" s="526">
        <v>45.64</v>
      </c>
      <c r="AM39" s="529">
        <v>63.9</v>
      </c>
      <c r="AN39" s="262"/>
      <c r="AO39" s="528">
        <v>31</v>
      </c>
      <c r="AP39" s="526">
        <v>46.44</v>
      </c>
      <c r="AQ39" s="529">
        <v>65.02</v>
      </c>
      <c r="AR39" s="262"/>
      <c r="AS39" s="528">
        <v>31</v>
      </c>
      <c r="AT39" s="526">
        <v>47.24</v>
      </c>
      <c r="AU39" s="529">
        <v>66.13</v>
      </c>
      <c r="AV39" s="262"/>
      <c r="AW39" s="528">
        <v>31</v>
      </c>
      <c r="AX39" s="526">
        <v>48.03</v>
      </c>
      <c r="AY39" s="529">
        <v>67.25</v>
      </c>
      <c r="AZ39" s="262"/>
      <c r="BA39" s="528">
        <v>31</v>
      </c>
      <c r="BB39" s="526">
        <v>48.83</v>
      </c>
      <c r="BC39" s="529">
        <v>68.36</v>
      </c>
      <c r="BD39" s="262"/>
      <c r="BE39" s="528">
        <v>31</v>
      </c>
      <c r="BF39" s="526">
        <v>49.63</v>
      </c>
      <c r="BG39" s="529">
        <v>69.48</v>
      </c>
      <c r="BH39" s="262"/>
      <c r="BI39" s="528">
        <v>31</v>
      </c>
      <c r="BJ39" s="526">
        <v>50.42</v>
      </c>
      <c r="BK39" s="529">
        <v>70.59</v>
      </c>
      <c r="BL39" s="262"/>
      <c r="BP39" s="280"/>
    </row>
    <row r="40" spans="1:68" ht="23.25">
      <c r="A40" s="269">
        <v>32</v>
      </c>
      <c r="B40" s="1437">
        <f t="shared" si="0"/>
        <v>43.81</v>
      </c>
      <c r="C40" s="1438">
        <f t="shared" si="1"/>
        <v>61.33</v>
      </c>
      <c r="D40" s="262"/>
      <c r="E40" s="1413">
        <v>32</v>
      </c>
      <c r="F40" s="1411">
        <v>40.520000000000003</v>
      </c>
      <c r="G40" s="1414">
        <v>56.72</v>
      </c>
      <c r="H40" s="1401"/>
      <c r="I40" s="1413">
        <v>32</v>
      </c>
      <c r="J40" s="1411">
        <v>41.34</v>
      </c>
      <c r="K40" s="1414">
        <v>57.88</v>
      </c>
      <c r="L40" s="262"/>
      <c r="M40" s="528">
        <v>32</v>
      </c>
      <c r="N40" s="569">
        <v>42.16</v>
      </c>
      <c r="O40" s="569">
        <v>59.03</v>
      </c>
      <c r="P40" s="262"/>
      <c r="Q40" s="528">
        <v>32</v>
      </c>
      <c r="R40" s="569">
        <v>42.98</v>
      </c>
      <c r="S40" s="569">
        <v>60.18</v>
      </c>
      <c r="T40" s="262"/>
      <c r="U40" s="528">
        <v>32</v>
      </c>
      <c r="V40" s="569">
        <v>43.81</v>
      </c>
      <c r="W40" s="569">
        <v>61.33</v>
      </c>
      <c r="X40" s="262"/>
      <c r="Y40" s="528">
        <v>32</v>
      </c>
      <c r="Z40" s="526">
        <v>44.63</v>
      </c>
      <c r="AA40" s="529">
        <v>62.48</v>
      </c>
      <c r="AB40" s="262"/>
      <c r="AC40" s="528">
        <v>32</v>
      </c>
      <c r="AD40" s="526">
        <v>45.45</v>
      </c>
      <c r="AE40" s="529">
        <v>63.63</v>
      </c>
      <c r="AF40" s="262"/>
      <c r="AG40" s="528">
        <v>32</v>
      </c>
      <c r="AH40" s="526">
        <v>46.27</v>
      </c>
      <c r="AI40" s="529">
        <v>64.78</v>
      </c>
      <c r="AJ40" s="262"/>
      <c r="AK40" s="528">
        <v>32</v>
      </c>
      <c r="AL40" s="526">
        <v>47.1</v>
      </c>
      <c r="AM40" s="529">
        <v>65.94</v>
      </c>
      <c r="AN40" s="262"/>
      <c r="AO40" s="528">
        <v>32</v>
      </c>
      <c r="AP40" s="526">
        <v>47.92</v>
      </c>
      <c r="AQ40" s="529">
        <v>67.09</v>
      </c>
      <c r="AR40" s="262"/>
      <c r="AS40" s="528">
        <v>32</v>
      </c>
      <c r="AT40" s="526">
        <v>48.74</v>
      </c>
      <c r="AU40" s="529">
        <v>68.239999999999995</v>
      </c>
      <c r="AV40" s="262"/>
      <c r="AW40" s="528">
        <v>32</v>
      </c>
      <c r="AX40" s="526">
        <v>49.56</v>
      </c>
      <c r="AY40" s="529">
        <v>69.39</v>
      </c>
      <c r="AZ40" s="262"/>
      <c r="BA40" s="528">
        <v>32</v>
      </c>
      <c r="BB40" s="526">
        <v>50.39</v>
      </c>
      <c r="BC40" s="529">
        <v>70.540000000000006</v>
      </c>
      <c r="BD40" s="262"/>
      <c r="BE40" s="528">
        <v>32</v>
      </c>
      <c r="BF40" s="526">
        <v>51.21</v>
      </c>
      <c r="BG40" s="529">
        <v>71.69</v>
      </c>
      <c r="BH40" s="262"/>
      <c r="BI40" s="528">
        <v>32</v>
      </c>
      <c r="BJ40" s="526">
        <v>52.03</v>
      </c>
      <c r="BK40" s="529">
        <v>72.84</v>
      </c>
      <c r="BL40" s="262"/>
      <c r="BP40" s="280"/>
    </row>
    <row r="41" spans="1:68" ht="23.25">
      <c r="A41" s="269">
        <v>33</v>
      </c>
      <c r="B41" s="1437">
        <f t="shared" si="0"/>
        <v>45.16</v>
      </c>
      <c r="C41" s="1438">
        <f t="shared" si="1"/>
        <v>63.22</v>
      </c>
      <c r="D41" s="262"/>
      <c r="E41" s="1413">
        <v>33</v>
      </c>
      <c r="F41" s="1411">
        <v>41.76</v>
      </c>
      <c r="G41" s="1414">
        <v>58.47</v>
      </c>
      <c r="H41" s="1401"/>
      <c r="I41" s="1413">
        <v>33</v>
      </c>
      <c r="J41" s="1411">
        <v>42.61</v>
      </c>
      <c r="K41" s="1414">
        <v>59.66</v>
      </c>
      <c r="L41" s="262"/>
      <c r="M41" s="528">
        <v>33</v>
      </c>
      <c r="N41" s="569">
        <v>43.46</v>
      </c>
      <c r="O41" s="569">
        <v>60.84</v>
      </c>
      <c r="P41" s="262"/>
      <c r="Q41" s="528">
        <v>33</v>
      </c>
      <c r="R41" s="569">
        <v>44.31</v>
      </c>
      <c r="S41" s="569">
        <v>62.03</v>
      </c>
      <c r="T41" s="262"/>
      <c r="U41" s="528">
        <v>33</v>
      </c>
      <c r="V41" s="569">
        <v>45.16</v>
      </c>
      <c r="W41" s="569">
        <v>63.22</v>
      </c>
      <c r="X41" s="262"/>
      <c r="Y41" s="528">
        <v>33</v>
      </c>
      <c r="Z41" s="526">
        <v>46</v>
      </c>
      <c r="AA41" s="529">
        <v>64.41</v>
      </c>
      <c r="AB41" s="262"/>
      <c r="AC41" s="528">
        <v>33</v>
      </c>
      <c r="AD41" s="526">
        <v>46.85</v>
      </c>
      <c r="AE41" s="529">
        <v>65.59</v>
      </c>
      <c r="AF41" s="262"/>
      <c r="AG41" s="528">
        <v>33</v>
      </c>
      <c r="AH41" s="526">
        <v>47.7</v>
      </c>
      <c r="AI41" s="529">
        <v>66.78</v>
      </c>
      <c r="AJ41" s="262"/>
      <c r="AK41" s="528">
        <v>33</v>
      </c>
      <c r="AL41" s="526">
        <v>48.55</v>
      </c>
      <c r="AM41" s="529">
        <v>67.97</v>
      </c>
      <c r="AN41" s="262"/>
      <c r="AO41" s="528">
        <v>33</v>
      </c>
      <c r="AP41" s="526">
        <v>49.4</v>
      </c>
      <c r="AQ41" s="529">
        <v>69.16</v>
      </c>
      <c r="AR41" s="262"/>
      <c r="AS41" s="528">
        <v>33</v>
      </c>
      <c r="AT41" s="526">
        <v>50.24</v>
      </c>
      <c r="AU41" s="529">
        <v>70.34</v>
      </c>
      <c r="AV41" s="262"/>
      <c r="AW41" s="528">
        <v>33</v>
      </c>
      <c r="AX41" s="526">
        <v>51.09</v>
      </c>
      <c r="AY41" s="529">
        <v>71.53</v>
      </c>
      <c r="AZ41" s="262"/>
      <c r="BA41" s="528">
        <v>33</v>
      </c>
      <c r="BB41" s="526">
        <v>51.94</v>
      </c>
      <c r="BC41" s="529">
        <v>72.72</v>
      </c>
      <c r="BD41" s="262"/>
      <c r="BE41" s="528">
        <v>33</v>
      </c>
      <c r="BF41" s="526">
        <v>52.79</v>
      </c>
      <c r="BG41" s="529">
        <v>73.900000000000006</v>
      </c>
      <c r="BH41" s="262"/>
      <c r="BI41" s="528">
        <v>33</v>
      </c>
      <c r="BJ41" s="526">
        <v>53.64</v>
      </c>
      <c r="BK41" s="529">
        <v>75.09</v>
      </c>
      <c r="BL41" s="262"/>
      <c r="BP41" s="280"/>
    </row>
    <row r="42" spans="1:68" ht="23.25">
      <c r="A42" s="269">
        <v>34</v>
      </c>
      <c r="B42" s="1437">
        <f t="shared" si="0"/>
        <v>46.51</v>
      </c>
      <c r="C42" s="1438">
        <f t="shared" si="1"/>
        <v>65.11</v>
      </c>
      <c r="D42" s="262"/>
      <c r="E42" s="1413">
        <v>34</v>
      </c>
      <c r="F42" s="1411">
        <v>43.01</v>
      </c>
      <c r="G42" s="1414">
        <v>60.21</v>
      </c>
      <c r="H42" s="1401"/>
      <c r="I42" s="1413">
        <v>34</v>
      </c>
      <c r="J42" s="1411">
        <v>43.88</v>
      </c>
      <c r="K42" s="1414">
        <v>61.44</v>
      </c>
      <c r="L42" s="262"/>
      <c r="M42" s="528">
        <v>34</v>
      </c>
      <c r="N42" s="569">
        <v>44.76</v>
      </c>
      <c r="O42" s="569">
        <v>62.66</v>
      </c>
      <c r="P42" s="262"/>
      <c r="Q42" s="528">
        <v>34</v>
      </c>
      <c r="R42" s="569">
        <v>45.63</v>
      </c>
      <c r="S42" s="569">
        <v>63.88</v>
      </c>
      <c r="T42" s="262"/>
      <c r="U42" s="528">
        <v>34</v>
      </c>
      <c r="V42" s="569">
        <v>46.51</v>
      </c>
      <c r="W42" s="569">
        <v>65.11</v>
      </c>
      <c r="X42" s="262"/>
      <c r="Y42" s="528">
        <v>34</v>
      </c>
      <c r="Z42" s="526">
        <v>47.38</v>
      </c>
      <c r="AA42" s="529">
        <v>66.33</v>
      </c>
      <c r="AB42" s="262"/>
      <c r="AC42" s="528">
        <v>34</v>
      </c>
      <c r="AD42" s="526">
        <v>48.25</v>
      </c>
      <c r="AE42" s="529">
        <v>67.55</v>
      </c>
      <c r="AF42" s="262"/>
      <c r="AG42" s="528">
        <v>34</v>
      </c>
      <c r="AH42" s="526">
        <v>49.13</v>
      </c>
      <c r="AI42" s="529">
        <v>68.78</v>
      </c>
      <c r="AJ42" s="262"/>
      <c r="AK42" s="528">
        <v>34</v>
      </c>
      <c r="AL42" s="526">
        <v>50</v>
      </c>
      <c r="AM42" s="529">
        <v>70</v>
      </c>
      <c r="AN42" s="262"/>
      <c r="AO42" s="528">
        <v>34</v>
      </c>
      <c r="AP42" s="526">
        <v>50.87</v>
      </c>
      <c r="AQ42" s="529">
        <v>71.22</v>
      </c>
      <c r="AR42" s="262"/>
      <c r="AS42" s="528">
        <v>34</v>
      </c>
      <c r="AT42" s="526">
        <v>51.75</v>
      </c>
      <c r="AU42" s="529">
        <v>72.45</v>
      </c>
      <c r="AV42" s="262"/>
      <c r="AW42" s="528">
        <v>34</v>
      </c>
      <c r="AX42" s="526">
        <v>52.62</v>
      </c>
      <c r="AY42" s="529">
        <v>73.67</v>
      </c>
      <c r="AZ42" s="262"/>
      <c r="BA42" s="528">
        <v>34</v>
      </c>
      <c r="BB42" s="526">
        <v>53.5</v>
      </c>
      <c r="BC42" s="529">
        <v>74.89</v>
      </c>
      <c r="BD42" s="262"/>
      <c r="BE42" s="528">
        <v>34</v>
      </c>
      <c r="BF42" s="526">
        <v>54.37</v>
      </c>
      <c r="BG42" s="529">
        <v>76.12</v>
      </c>
      <c r="BH42" s="262"/>
      <c r="BI42" s="528">
        <v>34</v>
      </c>
      <c r="BJ42" s="526">
        <v>55.24</v>
      </c>
      <c r="BK42" s="529">
        <v>77.34</v>
      </c>
      <c r="BL42" s="262"/>
      <c r="BP42" s="280"/>
    </row>
    <row r="43" spans="1:68" ht="23.25">
      <c r="A43" s="269">
        <v>35</v>
      </c>
      <c r="B43" s="1437">
        <f t="shared" si="0"/>
        <v>47.85</v>
      </c>
      <c r="C43" s="1438">
        <f t="shared" si="1"/>
        <v>66.989999999999995</v>
      </c>
      <c r="D43" s="262"/>
      <c r="E43" s="1413">
        <v>35</v>
      </c>
      <c r="F43" s="1411">
        <v>44.26</v>
      </c>
      <c r="G43" s="1414">
        <v>61.96</v>
      </c>
      <c r="H43" s="1401"/>
      <c r="I43" s="1413">
        <v>35</v>
      </c>
      <c r="J43" s="1411">
        <v>45.15</v>
      </c>
      <c r="K43" s="1414">
        <v>63.22</v>
      </c>
      <c r="L43" s="262"/>
      <c r="M43" s="528">
        <v>35</v>
      </c>
      <c r="N43" s="569">
        <v>46.05</v>
      </c>
      <c r="O43" s="569">
        <v>64.48</v>
      </c>
      <c r="P43" s="262"/>
      <c r="Q43" s="528">
        <v>35</v>
      </c>
      <c r="R43" s="569">
        <v>46.95</v>
      </c>
      <c r="S43" s="569">
        <v>65.739999999999995</v>
      </c>
      <c r="T43" s="262"/>
      <c r="U43" s="528">
        <v>35</v>
      </c>
      <c r="V43" s="569">
        <v>47.85</v>
      </c>
      <c r="W43" s="569">
        <v>66.989999999999995</v>
      </c>
      <c r="X43" s="262"/>
      <c r="Y43" s="528">
        <v>35</v>
      </c>
      <c r="Z43" s="526">
        <v>48.75</v>
      </c>
      <c r="AA43" s="529">
        <v>68.25</v>
      </c>
      <c r="AB43" s="262"/>
      <c r="AC43" s="528">
        <v>35</v>
      </c>
      <c r="AD43" s="526">
        <v>49.65</v>
      </c>
      <c r="AE43" s="529">
        <v>69.510000000000005</v>
      </c>
      <c r="AF43" s="262"/>
      <c r="AG43" s="528">
        <v>35</v>
      </c>
      <c r="AH43" s="526">
        <v>50.55</v>
      </c>
      <c r="AI43" s="529">
        <v>70.77</v>
      </c>
      <c r="AJ43" s="262"/>
      <c r="AK43" s="528">
        <v>35</v>
      </c>
      <c r="AL43" s="526">
        <v>51.45</v>
      </c>
      <c r="AM43" s="529">
        <v>72.03</v>
      </c>
      <c r="AN43" s="262"/>
      <c r="AO43" s="528">
        <v>35</v>
      </c>
      <c r="AP43" s="526">
        <v>52.35</v>
      </c>
      <c r="AQ43" s="529">
        <v>73.290000000000006</v>
      </c>
      <c r="AR43" s="262"/>
      <c r="AS43" s="528">
        <v>35</v>
      </c>
      <c r="AT43" s="526">
        <v>53.25</v>
      </c>
      <c r="AU43" s="529">
        <v>74.55</v>
      </c>
      <c r="AV43" s="262"/>
      <c r="AW43" s="528">
        <v>35</v>
      </c>
      <c r="AX43" s="526">
        <v>54.15</v>
      </c>
      <c r="AY43" s="529">
        <v>75.81</v>
      </c>
      <c r="AZ43" s="262"/>
      <c r="BA43" s="528">
        <v>35</v>
      </c>
      <c r="BB43" s="526">
        <v>55.05</v>
      </c>
      <c r="BC43" s="529">
        <v>77.069999999999993</v>
      </c>
      <c r="BD43" s="262"/>
      <c r="BE43" s="528">
        <v>35</v>
      </c>
      <c r="BF43" s="526">
        <v>55.95</v>
      </c>
      <c r="BG43" s="529">
        <v>78.33</v>
      </c>
      <c r="BH43" s="262"/>
      <c r="BI43" s="528">
        <v>35</v>
      </c>
      <c r="BJ43" s="526">
        <v>56.85</v>
      </c>
      <c r="BK43" s="529">
        <v>79.59</v>
      </c>
      <c r="BL43" s="262"/>
      <c r="BP43" s="280"/>
    </row>
    <row r="44" spans="1:68" ht="23.25">
      <c r="A44" s="269">
        <v>36</v>
      </c>
      <c r="B44" s="1437">
        <f t="shared" si="0"/>
        <v>49.21</v>
      </c>
      <c r="C44" s="1438">
        <f t="shared" si="1"/>
        <v>68.89</v>
      </c>
      <c r="D44" s="262"/>
      <c r="E44" s="1413">
        <v>36</v>
      </c>
      <c r="F44" s="1411">
        <v>45.51</v>
      </c>
      <c r="G44" s="1414">
        <v>63.71</v>
      </c>
      <c r="H44" s="1401"/>
      <c r="I44" s="1413">
        <v>36</v>
      </c>
      <c r="J44" s="1411">
        <v>46.43</v>
      </c>
      <c r="K44" s="1414">
        <v>65</v>
      </c>
      <c r="L44" s="262"/>
      <c r="M44" s="528">
        <v>36</v>
      </c>
      <c r="N44" s="569">
        <v>47.36</v>
      </c>
      <c r="O44" s="569">
        <v>66.3</v>
      </c>
      <c r="P44" s="262"/>
      <c r="Q44" s="528">
        <v>36</v>
      </c>
      <c r="R44" s="569">
        <v>48.28</v>
      </c>
      <c r="S44" s="569">
        <v>67.59</v>
      </c>
      <c r="T44" s="262"/>
      <c r="U44" s="528">
        <v>36</v>
      </c>
      <c r="V44" s="569">
        <v>49.21</v>
      </c>
      <c r="W44" s="569">
        <v>68.89</v>
      </c>
      <c r="X44" s="262"/>
      <c r="Y44" s="528">
        <v>36</v>
      </c>
      <c r="Z44" s="526">
        <v>50.13</v>
      </c>
      <c r="AA44" s="529">
        <v>70.19</v>
      </c>
      <c r="AB44" s="262"/>
      <c r="AC44" s="528">
        <v>36</v>
      </c>
      <c r="AD44" s="526">
        <v>51.06</v>
      </c>
      <c r="AE44" s="529">
        <v>71.48</v>
      </c>
      <c r="AF44" s="262"/>
      <c r="AG44" s="528">
        <v>36</v>
      </c>
      <c r="AH44" s="526">
        <v>51.98</v>
      </c>
      <c r="AI44" s="529">
        <v>72.78</v>
      </c>
      <c r="AJ44" s="262"/>
      <c r="AK44" s="528">
        <v>36</v>
      </c>
      <c r="AL44" s="526">
        <v>52.91</v>
      </c>
      <c r="AM44" s="529">
        <v>74.069999999999993</v>
      </c>
      <c r="AN44" s="262"/>
      <c r="AO44" s="528">
        <v>36</v>
      </c>
      <c r="AP44" s="526">
        <v>53.83</v>
      </c>
      <c r="AQ44" s="529">
        <v>75.37</v>
      </c>
      <c r="AR44" s="262"/>
      <c r="AS44" s="528">
        <v>36</v>
      </c>
      <c r="AT44" s="526">
        <v>54.76</v>
      </c>
      <c r="AU44" s="529">
        <v>76.66</v>
      </c>
      <c r="AV44" s="262"/>
      <c r="AW44" s="528">
        <v>36</v>
      </c>
      <c r="AX44" s="526">
        <v>55.68</v>
      </c>
      <c r="AY44" s="529">
        <v>77.959999999999994</v>
      </c>
      <c r="AZ44" s="262"/>
      <c r="BA44" s="528">
        <v>36</v>
      </c>
      <c r="BB44" s="526">
        <v>56.61</v>
      </c>
      <c r="BC44" s="529">
        <v>79.25</v>
      </c>
      <c r="BD44" s="262"/>
      <c r="BE44" s="528">
        <v>36</v>
      </c>
      <c r="BF44" s="526">
        <v>57.53</v>
      </c>
      <c r="BG44" s="529">
        <v>80.55</v>
      </c>
      <c r="BH44" s="262"/>
      <c r="BI44" s="528">
        <v>36</v>
      </c>
      <c r="BJ44" s="526">
        <v>58.46</v>
      </c>
      <c r="BK44" s="529">
        <v>81.84</v>
      </c>
      <c r="BL44" s="262"/>
      <c r="BP44" s="280"/>
    </row>
    <row r="45" spans="1:68" ht="23.25">
      <c r="A45" s="269">
        <v>37</v>
      </c>
      <c r="B45" s="1437">
        <f t="shared" si="0"/>
        <v>50.55</v>
      </c>
      <c r="C45" s="1438">
        <f t="shared" si="1"/>
        <v>70.77</v>
      </c>
      <c r="D45" s="262"/>
      <c r="E45" s="1413">
        <v>37</v>
      </c>
      <c r="F45" s="1411">
        <v>46.75</v>
      </c>
      <c r="G45" s="1414">
        <v>65.45</v>
      </c>
      <c r="H45" s="1401"/>
      <c r="I45" s="1413">
        <v>37</v>
      </c>
      <c r="J45" s="1411">
        <v>47.7</v>
      </c>
      <c r="K45" s="1414">
        <v>66.78</v>
      </c>
      <c r="L45" s="262"/>
      <c r="M45" s="528">
        <v>37</v>
      </c>
      <c r="N45" s="569">
        <v>48.65</v>
      </c>
      <c r="O45" s="569">
        <v>68.11</v>
      </c>
      <c r="P45" s="262"/>
      <c r="Q45" s="528">
        <v>37</v>
      </c>
      <c r="R45" s="569">
        <v>49.6</v>
      </c>
      <c r="S45" s="569">
        <v>69.44</v>
      </c>
      <c r="T45" s="262"/>
      <c r="U45" s="528">
        <v>37</v>
      </c>
      <c r="V45" s="569">
        <v>50.55</v>
      </c>
      <c r="W45" s="569">
        <v>70.77</v>
      </c>
      <c r="X45" s="262"/>
      <c r="Y45" s="528">
        <v>37</v>
      </c>
      <c r="Z45" s="526">
        <v>51.5</v>
      </c>
      <c r="AA45" s="529">
        <v>72.099999999999994</v>
      </c>
      <c r="AB45" s="262"/>
      <c r="AC45" s="528">
        <v>37</v>
      </c>
      <c r="AD45" s="526">
        <v>52.45</v>
      </c>
      <c r="AE45" s="529">
        <v>73.44</v>
      </c>
      <c r="AF45" s="262"/>
      <c r="AG45" s="528">
        <v>37</v>
      </c>
      <c r="AH45" s="526">
        <v>53.41</v>
      </c>
      <c r="AI45" s="529">
        <v>74.77</v>
      </c>
      <c r="AJ45" s="262"/>
      <c r="AK45" s="528">
        <v>37</v>
      </c>
      <c r="AL45" s="526">
        <v>54.36</v>
      </c>
      <c r="AM45" s="529">
        <v>76.099999999999994</v>
      </c>
      <c r="AN45" s="262"/>
      <c r="AO45" s="528">
        <v>37</v>
      </c>
      <c r="AP45" s="526">
        <v>55.31</v>
      </c>
      <c r="AQ45" s="529">
        <v>77.430000000000007</v>
      </c>
      <c r="AR45" s="262"/>
      <c r="AS45" s="528">
        <v>37</v>
      </c>
      <c r="AT45" s="526">
        <v>56.26</v>
      </c>
      <c r="AU45" s="529">
        <v>78.760000000000005</v>
      </c>
      <c r="AV45" s="262"/>
      <c r="AW45" s="528">
        <v>37</v>
      </c>
      <c r="AX45" s="526">
        <v>57.21</v>
      </c>
      <c r="AY45" s="529">
        <v>80.09</v>
      </c>
      <c r="AZ45" s="262"/>
      <c r="BA45" s="528">
        <v>37</v>
      </c>
      <c r="BB45" s="526">
        <v>58.16</v>
      </c>
      <c r="BC45" s="529">
        <v>81.42</v>
      </c>
      <c r="BD45" s="262"/>
      <c r="BE45" s="528">
        <v>37</v>
      </c>
      <c r="BF45" s="526">
        <v>59.11</v>
      </c>
      <c r="BG45" s="529">
        <v>82.75</v>
      </c>
      <c r="BH45" s="262"/>
      <c r="BI45" s="528">
        <v>37</v>
      </c>
      <c r="BJ45" s="526">
        <v>60.06</v>
      </c>
      <c r="BK45" s="529">
        <v>84.09</v>
      </c>
      <c r="BL45" s="262"/>
      <c r="BP45" s="280"/>
    </row>
    <row r="46" spans="1:68" ht="23.25">
      <c r="A46" s="269">
        <v>38</v>
      </c>
      <c r="B46" s="1437">
        <f t="shared" si="0"/>
        <v>51.9</v>
      </c>
      <c r="C46" s="1438">
        <f t="shared" si="1"/>
        <v>72.66</v>
      </c>
      <c r="D46" s="262"/>
      <c r="E46" s="1413">
        <v>38</v>
      </c>
      <c r="F46" s="1411">
        <v>48</v>
      </c>
      <c r="G46" s="1414">
        <v>67.2</v>
      </c>
      <c r="H46" s="1401"/>
      <c r="I46" s="1413">
        <v>38</v>
      </c>
      <c r="J46" s="1411">
        <v>48.97</v>
      </c>
      <c r="K46" s="1414">
        <v>68.56</v>
      </c>
      <c r="L46" s="262"/>
      <c r="M46" s="528">
        <v>38</v>
      </c>
      <c r="N46" s="569">
        <v>49.95</v>
      </c>
      <c r="O46" s="569">
        <v>69.930000000000007</v>
      </c>
      <c r="P46" s="262"/>
      <c r="Q46" s="528">
        <v>38</v>
      </c>
      <c r="R46" s="569">
        <v>50.93</v>
      </c>
      <c r="S46" s="569">
        <v>71.3</v>
      </c>
      <c r="T46" s="262"/>
      <c r="U46" s="528">
        <v>38</v>
      </c>
      <c r="V46" s="569">
        <v>51.9</v>
      </c>
      <c r="W46" s="569">
        <v>72.66</v>
      </c>
      <c r="X46" s="262"/>
      <c r="Y46" s="528">
        <v>38</v>
      </c>
      <c r="Z46" s="526">
        <v>52.88</v>
      </c>
      <c r="AA46" s="529">
        <v>74.03</v>
      </c>
      <c r="AB46" s="262"/>
      <c r="AC46" s="528">
        <v>38</v>
      </c>
      <c r="AD46" s="526">
        <v>53.86</v>
      </c>
      <c r="AE46" s="529">
        <v>75.400000000000006</v>
      </c>
      <c r="AF46" s="262"/>
      <c r="AG46" s="528">
        <v>38</v>
      </c>
      <c r="AH46" s="526">
        <v>54.83</v>
      </c>
      <c r="AI46" s="529">
        <v>76.77</v>
      </c>
      <c r="AJ46" s="262"/>
      <c r="AK46" s="528">
        <v>38</v>
      </c>
      <c r="AL46" s="526">
        <v>55.81</v>
      </c>
      <c r="AM46" s="529">
        <v>78.13</v>
      </c>
      <c r="AN46" s="262"/>
      <c r="AO46" s="528">
        <v>38</v>
      </c>
      <c r="AP46" s="526">
        <v>56.79</v>
      </c>
      <c r="AQ46" s="529">
        <v>79.5</v>
      </c>
      <c r="AR46" s="262"/>
      <c r="AS46" s="528">
        <v>38</v>
      </c>
      <c r="AT46" s="526">
        <v>57.76</v>
      </c>
      <c r="AU46" s="529">
        <v>80.87</v>
      </c>
      <c r="AV46" s="262"/>
      <c r="AW46" s="528">
        <v>38</v>
      </c>
      <c r="AX46" s="526">
        <v>58.74</v>
      </c>
      <c r="AY46" s="529">
        <v>82.23</v>
      </c>
      <c r="AZ46" s="262"/>
      <c r="BA46" s="528">
        <v>38</v>
      </c>
      <c r="BB46" s="526">
        <v>59.72</v>
      </c>
      <c r="BC46" s="529">
        <v>83.6</v>
      </c>
      <c r="BD46" s="262"/>
      <c r="BE46" s="528">
        <v>38</v>
      </c>
      <c r="BF46" s="526">
        <v>60.69</v>
      </c>
      <c r="BG46" s="529">
        <v>84.97</v>
      </c>
      <c r="BH46" s="262"/>
      <c r="BI46" s="528">
        <v>38</v>
      </c>
      <c r="BJ46" s="526">
        <v>61.67</v>
      </c>
      <c r="BK46" s="529">
        <v>86.34</v>
      </c>
      <c r="BL46" s="262"/>
      <c r="BP46" s="280"/>
    </row>
    <row r="47" spans="1:68" ht="23.25">
      <c r="A47" s="269">
        <v>39</v>
      </c>
      <c r="B47" s="1437">
        <f t="shared" si="0"/>
        <v>53.26</v>
      </c>
      <c r="C47" s="1438">
        <f t="shared" si="1"/>
        <v>74.56</v>
      </c>
      <c r="D47" s="262"/>
      <c r="E47" s="1413">
        <v>39</v>
      </c>
      <c r="F47" s="1411">
        <v>49.25</v>
      </c>
      <c r="G47" s="1414">
        <v>68.95</v>
      </c>
      <c r="H47" s="1401"/>
      <c r="I47" s="1413">
        <v>39</v>
      </c>
      <c r="J47" s="1411">
        <v>50.25</v>
      </c>
      <c r="K47" s="1414">
        <v>70.349999999999994</v>
      </c>
      <c r="L47" s="262"/>
      <c r="M47" s="528">
        <v>39</v>
      </c>
      <c r="N47" s="569">
        <v>51.25</v>
      </c>
      <c r="O47" s="569">
        <v>71.760000000000005</v>
      </c>
      <c r="P47" s="262"/>
      <c r="Q47" s="528">
        <v>39</v>
      </c>
      <c r="R47" s="569">
        <v>52.26</v>
      </c>
      <c r="S47" s="569">
        <v>73.16</v>
      </c>
      <c r="T47" s="262"/>
      <c r="U47" s="528">
        <v>39</v>
      </c>
      <c r="V47" s="569">
        <v>53.26</v>
      </c>
      <c r="W47" s="569">
        <v>74.56</v>
      </c>
      <c r="X47" s="262"/>
      <c r="Y47" s="528">
        <v>39</v>
      </c>
      <c r="Z47" s="526">
        <v>54.26</v>
      </c>
      <c r="AA47" s="529">
        <v>75.97</v>
      </c>
      <c r="AB47" s="262"/>
      <c r="AC47" s="528">
        <v>39</v>
      </c>
      <c r="AD47" s="526">
        <v>55.26</v>
      </c>
      <c r="AE47" s="529">
        <v>77.37</v>
      </c>
      <c r="AF47" s="262"/>
      <c r="AG47" s="528">
        <v>39</v>
      </c>
      <c r="AH47" s="526">
        <v>56.27</v>
      </c>
      <c r="AI47" s="529">
        <v>78.77</v>
      </c>
      <c r="AJ47" s="262"/>
      <c r="AK47" s="528">
        <v>39</v>
      </c>
      <c r="AL47" s="526">
        <v>57.27</v>
      </c>
      <c r="AM47" s="529">
        <v>80.180000000000007</v>
      </c>
      <c r="AN47" s="262"/>
      <c r="AO47" s="528">
        <v>39</v>
      </c>
      <c r="AP47" s="526">
        <v>58.27</v>
      </c>
      <c r="AQ47" s="529">
        <v>81.58</v>
      </c>
      <c r="AR47" s="262"/>
      <c r="AS47" s="528">
        <v>39</v>
      </c>
      <c r="AT47" s="526">
        <v>59.27</v>
      </c>
      <c r="AU47" s="529">
        <v>82.98</v>
      </c>
      <c r="AV47" s="262"/>
      <c r="AW47" s="528">
        <v>39</v>
      </c>
      <c r="AX47" s="526">
        <v>60.28</v>
      </c>
      <c r="AY47" s="529">
        <v>84.39</v>
      </c>
      <c r="AZ47" s="262"/>
      <c r="BA47" s="528">
        <v>39</v>
      </c>
      <c r="BB47" s="526">
        <v>61.28</v>
      </c>
      <c r="BC47" s="529">
        <v>85.79</v>
      </c>
      <c r="BD47" s="262"/>
      <c r="BE47" s="528">
        <v>39</v>
      </c>
      <c r="BF47" s="526">
        <v>62.28</v>
      </c>
      <c r="BG47" s="529">
        <v>87.19</v>
      </c>
      <c r="BH47" s="262"/>
      <c r="BI47" s="528">
        <v>39</v>
      </c>
      <c r="BJ47" s="526">
        <v>63.28</v>
      </c>
      <c r="BK47" s="529">
        <v>88.59</v>
      </c>
      <c r="BL47" s="262"/>
      <c r="BP47" s="280"/>
    </row>
    <row r="48" spans="1:68" ht="23.25">
      <c r="A48" s="270">
        <v>40</v>
      </c>
      <c r="B48" s="1437">
        <f t="shared" si="0"/>
        <v>54.6</v>
      </c>
      <c r="C48" s="1438">
        <f t="shared" si="1"/>
        <v>76.45</v>
      </c>
      <c r="D48" s="262"/>
      <c r="E48" s="1415">
        <v>40</v>
      </c>
      <c r="F48" s="1416">
        <v>50.49</v>
      </c>
      <c r="G48" s="1417">
        <v>70.69</v>
      </c>
      <c r="H48" s="1402"/>
      <c r="I48" s="1415">
        <v>40</v>
      </c>
      <c r="J48" s="1416">
        <v>51.52</v>
      </c>
      <c r="K48" s="1417">
        <v>72.13</v>
      </c>
      <c r="L48" s="262"/>
      <c r="M48" s="530">
        <v>40</v>
      </c>
      <c r="N48" s="571">
        <v>52.55</v>
      </c>
      <c r="O48" s="571">
        <v>73.569999999999993</v>
      </c>
      <c r="P48" s="265"/>
      <c r="Q48" s="530">
        <v>40</v>
      </c>
      <c r="R48" s="571">
        <v>53.58</v>
      </c>
      <c r="S48" s="571">
        <v>75.010000000000005</v>
      </c>
      <c r="T48" s="265"/>
      <c r="U48" s="530">
        <v>40</v>
      </c>
      <c r="V48" s="571">
        <v>54.6</v>
      </c>
      <c r="W48" s="571">
        <v>76.45</v>
      </c>
      <c r="X48" s="265"/>
      <c r="Y48" s="530">
        <v>40</v>
      </c>
      <c r="Z48" s="531">
        <v>55.63</v>
      </c>
      <c r="AA48" s="532">
        <v>77.88</v>
      </c>
      <c r="AB48" s="265"/>
      <c r="AC48" s="530">
        <v>40</v>
      </c>
      <c r="AD48" s="531">
        <v>56.66</v>
      </c>
      <c r="AE48" s="532">
        <v>79.319999999999993</v>
      </c>
      <c r="AF48" s="265"/>
      <c r="AG48" s="530">
        <v>40</v>
      </c>
      <c r="AH48" s="531">
        <v>57.69</v>
      </c>
      <c r="AI48" s="532">
        <v>80.760000000000005</v>
      </c>
      <c r="AJ48" s="265"/>
      <c r="AK48" s="530">
        <v>40</v>
      </c>
      <c r="AL48" s="531">
        <v>58.72</v>
      </c>
      <c r="AM48" s="532">
        <v>82.2</v>
      </c>
      <c r="AN48" s="265"/>
      <c r="AO48" s="530">
        <v>40</v>
      </c>
      <c r="AP48" s="531">
        <v>59.74</v>
      </c>
      <c r="AQ48" s="532">
        <v>83.64</v>
      </c>
      <c r="AR48" s="265"/>
      <c r="AS48" s="530">
        <v>40</v>
      </c>
      <c r="AT48" s="531">
        <v>60.77</v>
      </c>
      <c r="AU48" s="532">
        <v>85.08</v>
      </c>
      <c r="AV48" s="265"/>
      <c r="AW48" s="530">
        <v>40</v>
      </c>
      <c r="AX48" s="531">
        <v>61.8</v>
      </c>
      <c r="AY48" s="532">
        <v>86.52</v>
      </c>
      <c r="AZ48" s="265"/>
      <c r="BA48" s="530">
        <v>40</v>
      </c>
      <c r="BB48" s="531">
        <v>62.83</v>
      </c>
      <c r="BC48" s="532">
        <v>87.96</v>
      </c>
      <c r="BD48" s="265"/>
      <c r="BE48" s="530">
        <v>40</v>
      </c>
      <c r="BF48" s="531">
        <v>63.86</v>
      </c>
      <c r="BG48" s="532">
        <v>89.4</v>
      </c>
      <c r="BH48" s="265"/>
      <c r="BI48" s="530">
        <v>40</v>
      </c>
      <c r="BJ48" s="531">
        <v>64.88</v>
      </c>
      <c r="BK48" s="532">
        <v>90.84</v>
      </c>
      <c r="BL48" s="265"/>
      <c r="BP48" s="280"/>
    </row>
    <row r="49" spans="1:64" ht="23.25">
      <c r="A49" s="267">
        <v>41</v>
      </c>
      <c r="B49" s="1437">
        <f t="shared" si="0"/>
        <v>55.95</v>
      </c>
      <c r="C49" s="1438">
        <f t="shared" si="1"/>
        <v>78.33</v>
      </c>
      <c r="D49" s="262"/>
      <c r="E49" s="1418">
        <v>41</v>
      </c>
      <c r="F49" s="1419">
        <v>51.74</v>
      </c>
      <c r="G49" s="1412">
        <v>72.430000000000007</v>
      </c>
      <c r="H49" s="1403"/>
      <c r="I49" s="1418">
        <v>41</v>
      </c>
      <c r="J49" s="1419">
        <v>52.79</v>
      </c>
      <c r="K49" s="1412">
        <v>73.91</v>
      </c>
      <c r="L49" s="262"/>
      <c r="M49" s="533">
        <v>41</v>
      </c>
      <c r="N49" s="570">
        <v>53.85</v>
      </c>
      <c r="O49" s="570">
        <v>75.38</v>
      </c>
      <c r="P49" s="266"/>
      <c r="Q49" s="533">
        <v>41</v>
      </c>
      <c r="R49" s="570">
        <v>54.9</v>
      </c>
      <c r="S49" s="570">
        <v>76.86</v>
      </c>
      <c r="T49" s="266"/>
      <c r="U49" s="533">
        <v>41</v>
      </c>
      <c r="V49" s="570">
        <v>55.95</v>
      </c>
      <c r="W49" s="570">
        <v>78.33</v>
      </c>
      <c r="X49" s="266"/>
      <c r="Y49" s="533">
        <v>41</v>
      </c>
      <c r="Z49" s="534">
        <v>57.01</v>
      </c>
      <c r="AA49" s="527">
        <v>79.81</v>
      </c>
      <c r="AB49" s="266"/>
      <c r="AC49" s="533">
        <v>41</v>
      </c>
      <c r="AD49" s="534">
        <v>58.06</v>
      </c>
      <c r="AE49" s="527">
        <v>81.290000000000006</v>
      </c>
      <c r="AF49" s="266"/>
      <c r="AG49" s="533">
        <v>41</v>
      </c>
      <c r="AH49" s="534">
        <v>59.11</v>
      </c>
      <c r="AI49" s="527">
        <v>82.76</v>
      </c>
      <c r="AJ49" s="266"/>
      <c r="AK49" s="533">
        <v>41</v>
      </c>
      <c r="AL49" s="534">
        <v>60.17</v>
      </c>
      <c r="AM49" s="527">
        <v>84.24</v>
      </c>
      <c r="AN49" s="266"/>
      <c r="AO49" s="533">
        <v>41</v>
      </c>
      <c r="AP49" s="534">
        <v>61.22</v>
      </c>
      <c r="AQ49" s="527">
        <v>85.71</v>
      </c>
      <c r="AR49" s="266"/>
      <c r="AS49" s="533">
        <v>41</v>
      </c>
      <c r="AT49" s="534">
        <v>62.28</v>
      </c>
      <c r="AU49" s="527">
        <v>87.19</v>
      </c>
      <c r="AV49" s="266"/>
      <c r="AW49" s="533">
        <v>41</v>
      </c>
      <c r="AX49" s="534">
        <v>63.33</v>
      </c>
      <c r="AY49" s="527">
        <v>88.66</v>
      </c>
      <c r="AZ49" s="266"/>
      <c r="BA49" s="533">
        <v>41</v>
      </c>
      <c r="BB49" s="534">
        <v>64.38</v>
      </c>
      <c r="BC49" s="527">
        <v>90.14</v>
      </c>
      <c r="BD49" s="266"/>
      <c r="BE49" s="533">
        <v>41</v>
      </c>
      <c r="BF49" s="534">
        <v>65.44</v>
      </c>
      <c r="BG49" s="527">
        <v>91.61</v>
      </c>
      <c r="BH49" s="266"/>
      <c r="BI49" s="533">
        <v>41</v>
      </c>
      <c r="BJ49" s="534">
        <v>66.489999999999995</v>
      </c>
      <c r="BK49" s="527">
        <v>93.09</v>
      </c>
      <c r="BL49" s="266"/>
    </row>
    <row r="50" spans="1:64" ht="23.25">
      <c r="A50" s="269">
        <v>42</v>
      </c>
      <c r="B50" s="1437">
        <f t="shared" si="0"/>
        <v>57.31</v>
      </c>
      <c r="C50" s="1438">
        <f t="shared" si="1"/>
        <v>80.23</v>
      </c>
      <c r="D50" s="262"/>
      <c r="E50" s="1420">
        <v>42</v>
      </c>
      <c r="F50" s="1421">
        <v>52.99</v>
      </c>
      <c r="G50" s="1414">
        <v>74.19</v>
      </c>
      <c r="H50" s="1404"/>
      <c r="I50" s="1420">
        <v>42</v>
      </c>
      <c r="J50" s="1421">
        <v>54.07</v>
      </c>
      <c r="K50" s="1414">
        <v>75.7</v>
      </c>
      <c r="L50" s="262"/>
      <c r="M50" s="535">
        <v>42</v>
      </c>
      <c r="N50" s="569">
        <v>55.15</v>
      </c>
      <c r="O50" s="569">
        <v>77.209999999999994</v>
      </c>
      <c r="P50" s="268"/>
      <c r="Q50" s="535">
        <v>42</v>
      </c>
      <c r="R50" s="569">
        <v>56.23</v>
      </c>
      <c r="S50" s="569">
        <v>78.72</v>
      </c>
      <c r="T50" s="268"/>
      <c r="U50" s="535">
        <v>42</v>
      </c>
      <c r="V50" s="569">
        <v>57.31</v>
      </c>
      <c r="W50" s="569">
        <v>80.23</v>
      </c>
      <c r="X50" s="268"/>
      <c r="Y50" s="535">
        <v>42</v>
      </c>
      <c r="Z50" s="536">
        <v>58.39</v>
      </c>
      <c r="AA50" s="529">
        <v>81.739999999999995</v>
      </c>
      <c r="AB50" s="268"/>
      <c r="AC50" s="535">
        <v>42</v>
      </c>
      <c r="AD50" s="536">
        <v>59.47</v>
      </c>
      <c r="AE50" s="529">
        <v>83.25</v>
      </c>
      <c r="AF50" s="268"/>
      <c r="AG50" s="535">
        <v>42</v>
      </c>
      <c r="AH50" s="536">
        <v>60.55</v>
      </c>
      <c r="AI50" s="529">
        <v>84.76</v>
      </c>
      <c r="AJ50" s="268"/>
      <c r="AK50" s="535">
        <v>42</v>
      </c>
      <c r="AL50" s="536">
        <v>61.63</v>
      </c>
      <c r="AM50" s="529">
        <v>86.28</v>
      </c>
      <c r="AN50" s="268"/>
      <c r="AO50" s="535">
        <v>42</v>
      </c>
      <c r="AP50" s="536">
        <v>62.71</v>
      </c>
      <c r="AQ50" s="529">
        <v>87.79</v>
      </c>
      <c r="AR50" s="268"/>
      <c r="AS50" s="535">
        <v>42</v>
      </c>
      <c r="AT50" s="536">
        <v>63.78</v>
      </c>
      <c r="AU50" s="529">
        <v>89.3</v>
      </c>
      <c r="AV50" s="268"/>
      <c r="AW50" s="535">
        <v>42</v>
      </c>
      <c r="AX50" s="536">
        <v>64.86</v>
      </c>
      <c r="AY50" s="529">
        <v>90.81</v>
      </c>
      <c r="AZ50" s="268"/>
      <c r="BA50" s="535">
        <v>42</v>
      </c>
      <c r="BB50" s="536">
        <v>65.94</v>
      </c>
      <c r="BC50" s="529">
        <v>92.32</v>
      </c>
      <c r="BD50" s="268"/>
      <c r="BE50" s="535">
        <v>42</v>
      </c>
      <c r="BF50" s="536">
        <v>67.02</v>
      </c>
      <c r="BG50" s="529">
        <v>93.83</v>
      </c>
      <c r="BH50" s="268"/>
      <c r="BI50" s="535">
        <v>42</v>
      </c>
      <c r="BJ50" s="536">
        <v>68.099999999999994</v>
      </c>
      <c r="BK50" s="529">
        <v>95.34</v>
      </c>
      <c r="BL50" s="268"/>
    </row>
    <row r="51" spans="1:64" ht="23.25">
      <c r="A51" s="269">
        <v>43</v>
      </c>
      <c r="B51" s="1437">
        <f t="shared" si="0"/>
        <v>58.65</v>
      </c>
      <c r="C51" s="1438">
        <f t="shared" si="1"/>
        <v>82.11</v>
      </c>
      <c r="D51" s="262"/>
      <c r="E51" s="1420">
        <v>43</v>
      </c>
      <c r="F51" s="1421">
        <v>54.23</v>
      </c>
      <c r="G51" s="1414">
        <v>75.92</v>
      </c>
      <c r="H51" s="1404"/>
      <c r="I51" s="1420">
        <v>43</v>
      </c>
      <c r="J51" s="1421">
        <v>55.33</v>
      </c>
      <c r="K51" s="1414">
        <v>77.47</v>
      </c>
      <c r="L51" s="262"/>
      <c r="M51" s="535">
        <v>43</v>
      </c>
      <c r="N51" s="569">
        <v>56.44</v>
      </c>
      <c r="O51" s="569">
        <v>79.010000000000005</v>
      </c>
      <c r="P51" s="268"/>
      <c r="Q51" s="535">
        <v>43</v>
      </c>
      <c r="R51" s="569">
        <v>57.54</v>
      </c>
      <c r="S51" s="569">
        <v>80.56</v>
      </c>
      <c r="T51" s="268"/>
      <c r="U51" s="535">
        <v>43</v>
      </c>
      <c r="V51" s="569">
        <v>58.65</v>
      </c>
      <c r="W51" s="569">
        <v>82.11</v>
      </c>
      <c r="X51" s="268"/>
      <c r="Y51" s="535">
        <v>43</v>
      </c>
      <c r="Z51" s="536">
        <v>59.75</v>
      </c>
      <c r="AA51" s="529">
        <v>83.66</v>
      </c>
      <c r="AB51" s="268"/>
      <c r="AC51" s="535">
        <v>43</v>
      </c>
      <c r="AD51" s="536">
        <v>60.86</v>
      </c>
      <c r="AE51" s="529">
        <v>85.2</v>
      </c>
      <c r="AF51" s="268"/>
      <c r="AG51" s="535">
        <v>43</v>
      </c>
      <c r="AH51" s="536">
        <v>61.96</v>
      </c>
      <c r="AI51" s="529">
        <v>86.75</v>
      </c>
      <c r="AJ51" s="268"/>
      <c r="AK51" s="535">
        <v>43</v>
      </c>
      <c r="AL51" s="536">
        <v>63.07</v>
      </c>
      <c r="AM51" s="529">
        <v>88.3</v>
      </c>
      <c r="AN51" s="268"/>
      <c r="AO51" s="535">
        <v>43</v>
      </c>
      <c r="AP51" s="536">
        <v>64.17</v>
      </c>
      <c r="AQ51" s="529">
        <v>89.84</v>
      </c>
      <c r="AR51" s="268"/>
      <c r="AS51" s="535">
        <v>43</v>
      </c>
      <c r="AT51" s="536">
        <v>65.28</v>
      </c>
      <c r="AU51" s="529">
        <v>91.39</v>
      </c>
      <c r="AV51" s="268"/>
      <c r="AW51" s="535">
        <v>43</v>
      </c>
      <c r="AX51" s="536">
        <v>66.38</v>
      </c>
      <c r="AY51" s="529">
        <v>92.94</v>
      </c>
      <c r="AZ51" s="268"/>
      <c r="BA51" s="535">
        <v>43</v>
      </c>
      <c r="BB51" s="536">
        <v>67.489999999999995</v>
      </c>
      <c r="BC51" s="529">
        <v>94.49</v>
      </c>
      <c r="BD51" s="268"/>
      <c r="BE51" s="535">
        <v>43</v>
      </c>
      <c r="BF51" s="536">
        <v>68.59</v>
      </c>
      <c r="BG51" s="529">
        <v>96.03</v>
      </c>
      <c r="BH51" s="268"/>
      <c r="BI51" s="535">
        <v>43</v>
      </c>
      <c r="BJ51" s="536">
        <v>69.7</v>
      </c>
      <c r="BK51" s="529">
        <v>97.58</v>
      </c>
      <c r="BL51" s="268"/>
    </row>
    <row r="52" spans="1:64" ht="23.25">
      <c r="A52" s="269">
        <v>44</v>
      </c>
      <c r="B52" s="1437">
        <f t="shared" si="0"/>
        <v>60</v>
      </c>
      <c r="C52" s="1438">
        <f t="shared" si="1"/>
        <v>84.01</v>
      </c>
      <c r="D52" s="262"/>
      <c r="E52" s="1420">
        <v>44</v>
      </c>
      <c r="F52" s="1421">
        <v>55.48</v>
      </c>
      <c r="G52" s="1414">
        <v>77.67</v>
      </c>
      <c r="H52" s="1404"/>
      <c r="I52" s="1420">
        <v>44</v>
      </c>
      <c r="J52" s="1421">
        <v>56.61</v>
      </c>
      <c r="K52" s="1414">
        <v>79.260000000000005</v>
      </c>
      <c r="L52" s="262"/>
      <c r="M52" s="535">
        <v>44</v>
      </c>
      <c r="N52" s="569">
        <v>57.74</v>
      </c>
      <c r="O52" s="569">
        <v>80.84</v>
      </c>
      <c r="P52" s="268"/>
      <c r="Q52" s="535">
        <v>44</v>
      </c>
      <c r="R52" s="569">
        <v>58.87</v>
      </c>
      <c r="S52" s="569">
        <v>82.42</v>
      </c>
      <c r="T52" s="268"/>
      <c r="U52" s="535">
        <v>44</v>
      </c>
      <c r="V52" s="569">
        <v>60</v>
      </c>
      <c r="W52" s="569">
        <v>84.01</v>
      </c>
      <c r="X52" s="268"/>
      <c r="Y52" s="535">
        <v>44</v>
      </c>
      <c r="Z52" s="536">
        <v>61.13</v>
      </c>
      <c r="AA52" s="529">
        <v>85.59</v>
      </c>
      <c r="AB52" s="268"/>
      <c r="AC52" s="535">
        <v>44</v>
      </c>
      <c r="AD52" s="536">
        <v>62.27</v>
      </c>
      <c r="AE52" s="529">
        <v>84.17</v>
      </c>
      <c r="AF52" s="268"/>
      <c r="AG52" s="535">
        <v>44</v>
      </c>
      <c r="AH52" s="536">
        <v>63.4</v>
      </c>
      <c r="AI52" s="529">
        <v>88.75</v>
      </c>
      <c r="AJ52" s="268"/>
      <c r="AK52" s="535">
        <v>44</v>
      </c>
      <c r="AL52" s="536">
        <v>64.53</v>
      </c>
      <c r="AM52" s="529">
        <v>90.34</v>
      </c>
      <c r="AN52" s="268"/>
      <c r="AO52" s="535">
        <v>44</v>
      </c>
      <c r="AP52" s="536">
        <v>65.66</v>
      </c>
      <c r="AQ52" s="529">
        <v>91.92</v>
      </c>
      <c r="AR52" s="268"/>
      <c r="AS52" s="535">
        <v>44</v>
      </c>
      <c r="AT52" s="536">
        <v>66.790000000000006</v>
      </c>
      <c r="AU52" s="529">
        <v>93.5</v>
      </c>
      <c r="AV52" s="268"/>
      <c r="AW52" s="535">
        <v>44</v>
      </c>
      <c r="AX52" s="536">
        <v>67.92</v>
      </c>
      <c r="AY52" s="529">
        <v>95.09</v>
      </c>
      <c r="AZ52" s="268"/>
      <c r="BA52" s="535">
        <v>44</v>
      </c>
      <c r="BB52" s="536">
        <v>69.05</v>
      </c>
      <c r="BC52" s="529">
        <v>96.67</v>
      </c>
      <c r="BD52" s="268"/>
      <c r="BE52" s="535">
        <v>44</v>
      </c>
      <c r="BF52" s="536">
        <v>70.180000000000007</v>
      </c>
      <c r="BG52" s="529">
        <v>98.25</v>
      </c>
      <c r="BH52" s="268"/>
      <c r="BI52" s="535">
        <v>44</v>
      </c>
      <c r="BJ52" s="536">
        <v>71.31</v>
      </c>
      <c r="BK52" s="529">
        <v>99.84</v>
      </c>
      <c r="BL52" s="268"/>
    </row>
    <row r="53" spans="1:64" ht="23.25">
      <c r="A53" s="269">
        <v>45</v>
      </c>
      <c r="B53" s="1437">
        <f t="shared" si="0"/>
        <v>61.35</v>
      </c>
      <c r="C53" s="1438">
        <f t="shared" si="1"/>
        <v>85.89</v>
      </c>
      <c r="D53" s="262"/>
      <c r="E53" s="1420">
        <v>45</v>
      </c>
      <c r="F53" s="1421">
        <v>56.73</v>
      </c>
      <c r="G53" s="1414">
        <v>79.42</v>
      </c>
      <c r="H53" s="1404"/>
      <c r="I53" s="1420">
        <v>45</v>
      </c>
      <c r="J53" s="1421">
        <v>57.88</v>
      </c>
      <c r="K53" s="1414">
        <v>81.040000000000006</v>
      </c>
      <c r="L53" s="262"/>
      <c r="M53" s="535">
        <v>45</v>
      </c>
      <c r="N53" s="569">
        <v>59.04</v>
      </c>
      <c r="O53" s="569">
        <v>82.66</v>
      </c>
      <c r="P53" s="268"/>
      <c r="Q53" s="535">
        <v>45</v>
      </c>
      <c r="R53" s="569">
        <v>60.2</v>
      </c>
      <c r="S53" s="569">
        <v>84.28</v>
      </c>
      <c r="T53" s="268"/>
      <c r="U53" s="535">
        <v>45</v>
      </c>
      <c r="V53" s="569">
        <v>61.35</v>
      </c>
      <c r="W53" s="569">
        <v>85.89</v>
      </c>
      <c r="X53" s="268"/>
      <c r="Y53" s="535">
        <v>45</v>
      </c>
      <c r="Z53" s="536">
        <v>62.51</v>
      </c>
      <c r="AA53" s="529">
        <v>87.51</v>
      </c>
      <c r="AB53" s="268"/>
      <c r="AC53" s="535">
        <v>45</v>
      </c>
      <c r="AD53" s="536">
        <v>63.67</v>
      </c>
      <c r="AE53" s="529">
        <v>89.13</v>
      </c>
      <c r="AF53" s="268"/>
      <c r="AG53" s="535">
        <v>45</v>
      </c>
      <c r="AH53" s="536">
        <v>64.819999999999993</v>
      </c>
      <c r="AI53" s="529">
        <v>90.75</v>
      </c>
      <c r="AJ53" s="268"/>
      <c r="AK53" s="535">
        <v>45</v>
      </c>
      <c r="AL53" s="536">
        <v>65.98</v>
      </c>
      <c r="AM53" s="529">
        <v>92.37</v>
      </c>
      <c r="AN53" s="268"/>
      <c r="AO53" s="535">
        <v>45</v>
      </c>
      <c r="AP53" s="536">
        <v>67.14</v>
      </c>
      <c r="AQ53" s="529">
        <v>93.99</v>
      </c>
      <c r="AR53" s="268"/>
      <c r="AS53" s="535">
        <v>45</v>
      </c>
      <c r="AT53" s="536">
        <v>68.290000000000006</v>
      </c>
      <c r="AU53" s="529">
        <v>95.61</v>
      </c>
      <c r="AV53" s="268"/>
      <c r="AW53" s="535">
        <v>45</v>
      </c>
      <c r="AX53" s="536">
        <v>69.45</v>
      </c>
      <c r="AY53" s="529">
        <v>97.23</v>
      </c>
      <c r="AZ53" s="268"/>
      <c r="BA53" s="535">
        <v>45</v>
      </c>
      <c r="BB53" s="536">
        <v>70.61</v>
      </c>
      <c r="BC53" s="529">
        <v>98.85</v>
      </c>
      <c r="BD53" s="268"/>
      <c r="BE53" s="535">
        <v>45</v>
      </c>
      <c r="BF53" s="536">
        <v>71.760000000000005</v>
      </c>
      <c r="BG53" s="529">
        <v>100.47</v>
      </c>
      <c r="BH53" s="268"/>
      <c r="BI53" s="535">
        <v>45</v>
      </c>
      <c r="BJ53" s="536">
        <v>72.92</v>
      </c>
      <c r="BK53" s="529">
        <v>102.09</v>
      </c>
      <c r="BL53" s="268"/>
    </row>
    <row r="54" spans="1:64" ht="23.25">
      <c r="A54" s="269">
        <v>46</v>
      </c>
      <c r="B54" s="1437">
        <f t="shared" si="0"/>
        <v>62.71</v>
      </c>
      <c r="C54" s="1438">
        <f t="shared" si="1"/>
        <v>87.79</v>
      </c>
      <c r="D54" s="262"/>
      <c r="E54" s="1420">
        <v>46</v>
      </c>
      <c r="F54" s="1421">
        <v>57.98</v>
      </c>
      <c r="G54" s="1414">
        <v>81.17</v>
      </c>
      <c r="H54" s="1404"/>
      <c r="I54" s="1420">
        <v>46</v>
      </c>
      <c r="J54" s="1421">
        <v>59.16</v>
      </c>
      <c r="K54" s="1414">
        <v>82.83</v>
      </c>
      <c r="L54" s="262"/>
      <c r="M54" s="535">
        <v>46</v>
      </c>
      <c r="N54" s="569">
        <v>60.34</v>
      </c>
      <c r="O54" s="569">
        <v>84.48</v>
      </c>
      <c r="P54" s="268"/>
      <c r="Q54" s="535">
        <v>46</v>
      </c>
      <c r="R54" s="569">
        <v>61.53</v>
      </c>
      <c r="S54" s="569">
        <v>86.14</v>
      </c>
      <c r="T54" s="268"/>
      <c r="U54" s="535">
        <v>46</v>
      </c>
      <c r="V54" s="569">
        <v>62.71</v>
      </c>
      <c r="W54" s="569">
        <v>87.79</v>
      </c>
      <c r="X54" s="268"/>
      <c r="Y54" s="535">
        <v>46</v>
      </c>
      <c r="Z54" s="536">
        <v>63.89</v>
      </c>
      <c r="AA54" s="529">
        <v>89.45</v>
      </c>
      <c r="AB54" s="268"/>
      <c r="AC54" s="535">
        <v>46</v>
      </c>
      <c r="AD54" s="536">
        <v>65.069999999999993</v>
      </c>
      <c r="AE54" s="529">
        <v>91.1</v>
      </c>
      <c r="AF54" s="268"/>
      <c r="AG54" s="535">
        <v>46</v>
      </c>
      <c r="AH54" s="536">
        <v>66.25</v>
      </c>
      <c r="AI54" s="529">
        <v>92.76</v>
      </c>
      <c r="AJ54" s="268"/>
      <c r="AK54" s="535">
        <v>46</v>
      </c>
      <c r="AL54" s="536">
        <v>67.44</v>
      </c>
      <c r="AM54" s="529">
        <v>94.41</v>
      </c>
      <c r="AN54" s="268"/>
      <c r="AO54" s="535">
        <v>46</v>
      </c>
      <c r="AP54" s="536">
        <v>68.62</v>
      </c>
      <c r="AQ54" s="529">
        <v>96.07</v>
      </c>
      <c r="AR54" s="268"/>
      <c r="AS54" s="535">
        <v>46</v>
      </c>
      <c r="AT54" s="536">
        <v>69.8</v>
      </c>
      <c r="AU54" s="529">
        <v>97.72</v>
      </c>
      <c r="AV54" s="268"/>
      <c r="AW54" s="535">
        <v>46</v>
      </c>
      <c r="AX54" s="536">
        <v>70.98</v>
      </c>
      <c r="AY54" s="529">
        <v>99.38</v>
      </c>
      <c r="AZ54" s="268"/>
      <c r="BA54" s="535">
        <v>46</v>
      </c>
      <c r="BB54" s="536">
        <v>72.17</v>
      </c>
      <c r="BC54" s="529">
        <v>101.03</v>
      </c>
      <c r="BD54" s="268"/>
      <c r="BE54" s="535">
        <v>46</v>
      </c>
      <c r="BF54" s="536">
        <v>73.349999999999994</v>
      </c>
      <c r="BG54" s="529">
        <v>102.69</v>
      </c>
      <c r="BH54" s="268"/>
      <c r="BI54" s="535">
        <v>46</v>
      </c>
      <c r="BJ54" s="536">
        <v>74.53</v>
      </c>
      <c r="BK54" s="529">
        <v>104.34</v>
      </c>
      <c r="BL54" s="268"/>
    </row>
    <row r="55" spans="1:64" ht="23.25">
      <c r="A55" s="269">
        <v>47</v>
      </c>
      <c r="B55" s="1437">
        <f t="shared" si="0"/>
        <v>64.06</v>
      </c>
      <c r="C55" s="1438">
        <f t="shared" si="1"/>
        <v>89.68</v>
      </c>
      <c r="D55" s="262"/>
      <c r="E55" s="1420">
        <v>47</v>
      </c>
      <c r="F55" s="1421">
        <v>59.22</v>
      </c>
      <c r="G55" s="1414">
        <v>82.91</v>
      </c>
      <c r="H55" s="1404"/>
      <c r="I55" s="1420">
        <v>47</v>
      </c>
      <c r="J55" s="1421">
        <v>60.43</v>
      </c>
      <c r="K55" s="1414">
        <v>84.6</v>
      </c>
      <c r="L55" s="262"/>
      <c r="M55" s="535">
        <v>47</v>
      </c>
      <c r="N55" s="569">
        <v>61.64</v>
      </c>
      <c r="O55" s="569">
        <v>86.3</v>
      </c>
      <c r="P55" s="268"/>
      <c r="Q55" s="535">
        <v>47</v>
      </c>
      <c r="R55" s="569">
        <v>62.85</v>
      </c>
      <c r="S55" s="569">
        <v>87.99</v>
      </c>
      <c r="T55" s="268"/>
      <c r="U55" s="535">
        <v>47</v>
      </c>
      <c r="V55" s="569">
        <v>64.06</v>
      </c>
      <c r="W55" s="569">
        <v>89.68</v>
      </c>
      <c r="X55" s="268"/>
      <c r="Y55" s="535">
        <v>47</v>
      </c>
      <c r="Z55" s="536">
        <v>65.260000000000005</v>
      </c>
      <c r="AA55" s="529">
        <v>91.37</v>
      </c>
      <c r="AB55" s="268"/>
      <c r="AC55" s="535">
        <v>47</v>
      </c>
      <c r="AD55" s="536">
        <v>66.47</v>
      </c>
      <c r="AE55" s="529">
        <v>93.06</v>
      </c>
      <c r="AF55" s="268"/>
      <c r="AG55" s="535">
        <v>47</v>
      </c>
      <c r="AH55" s="536">
        <v>67.680000000000007</v>
      </c>
      <c r="AI55" s="529">
        <v>94.75</v>
      </c>
      <c r="AJ55" s="268"/>
      <c r="AK55" s="535">
        <v>47</v>
      </c>
      <c r="AL55" s="536">
        <v>68.89</v>
      </c>
      <c r="AM55" s="529">
        <v>96.44</v>
      </c>
      <c r="AN55" s="268"/>
      <c r="AO55" s="535">
        <v>47</v>
      </c>
      <c r="AP55" s="536">
        <v>70.099999999999994</v>
      </c>
      <c r="AQ55" s="529">
        <v>98.13</v>
      </c>
      <c r="AR55" s="268"/>
      <c r="AS55" s="535">
        <v>47</v>
      </c>
      <c r="AT55" s="536">
        <v>71.3</v>
      </c>
      <c r="AU55" s="529">
        <v>99.82</v>
      </c>
      <c r="AV55" s="268"/>
      <c r="AW55" s="535">
        <v>47</v>
      </c>
      <c r="AX55" s="536">
        <v>72.510000000000005</v>
      </c>
      <c r="AY55" s="529">
        <v>101.52</v>
      </c>
      <c r="AZ55" s="268"/>
      <c r="BA55" s="535">
        <v>47</v>
      </c>
      <c r="BB55" s="536">
        <v>73.72</v>
      </c>
      <c r="BC55" s="529">
        <v>103.21</v>
      </c>
      <c r="BD55" s="268"/>
      <c r="BE55" s="535">
        <v>47</v>
      </c>
      <c r="BF55" s="536">
        <v>74.930000000000007</v>
      </c>
      <c r="BG55" s="529">
        <v>104.9</v>
      </c>
      <c r="BH55" s="268"/>
      <c r="BI55" s="535">
        <v>47</v>
      </c>
      <c r="BJ55" s="536">
        <v>76.13</v>
      </c>
      <c r="BK55" s="529">
        <v>106.59</v>
      </c>
      <c r="BL55" s="268"/>
    </row>
    <row r="56" spans="1:64" ht="23.25">
      <c r="A56" s="269">
        <v>48</v>
      </c>
      <c r="B56" s="1437">
        <f t="shared" si="0"/>
        <v>65.400000000000006</v>
      </c>
      <c r="C56" s="1438">
        <f t="shared" si="1"/>
        <v>91.55</v>
      </c>
      <c r="D56" s="262"/>
      <c r="E56" s="1420">
        <v>48</v>
      </c>
      <c r="F56" s="1421">
        <v>60.46</v>
      </c>
      <c r="G56" s="1414">
        <v>84.65</v>
      </c>
      <c r="H56" s="1404"/>
      <c r="I56" s="1420">
        <v>48</v>
      </c>
      <c r="J56" s="1421">
        <v>61.7</v>
      </c>
      <c r="K56" s="1414">
        <v>86.37</v>
      </c>
      <c r="L56" s="262"/>
      <c r="M56" s="535">
        <v>48</v>
      </c>
      <c r="N56" s="569">
        <v>62.93</v>
      </c>
      <c r="O56" s="569">
        <v>88.1</v>
      </c>
      <c r="P56" s="268"/>
      <c r="Q56" s="535">
        <v>48</v>
      </c>
      <c r="R56" s="569">
        <v>64.16</v>
      </c>
      <c r="S56" s="569">
        <v>89.83</v>
      </c>
      <c r="T56" s="268"/>
      <c r="U56" s="535">
        <v>48</v>
      </c>
      <c r="V56" s="569">
        <v>65.400000000000006</v>
      </c>
      <c r="W56" s="569">
        <v>91.55</v>
      </c>
      <c r="X56" s="268"/>
      <c r="Y56" s="535">
        <v>48</v>
      </c>
      <c r="Z56" s="536">
        <v>66.63</v>
      </c>
      <c r="AA56" s="529">
        <v>93.28</v>
      </c>
      <c r="AB56" s="268"/>
      <c r="AC56" s="535">
        <v>48</v>
      </c>
      <c r="AD56" s="536">
        <v>67.86</v>
      </c>
      <c r="AE56" s="529">
        <v>95.01</v>
      </c>
      <c r="AF56" s="268"/>
      <c r="AG56" s="535">
        <v>48</v>
      </c>
      <c r="AH56" s="536">
        <v>69.099999999999994</v>
      </c>
      <c r="AI56" s="529">
        <v>96.74</v>
      </c>
      <c r="AJ56" s="268"/>
      <c r="AK56" s="535">
        <v>48</v>
      </c>
      <c r="AL56" s="536">
        <v>70.33</v>
      </c>
      <c r="AM56" s="529">
        <v>98.46</v>
      </c>
      <c r="AN56" s="268"/>
      <c r="AO56" s="535">
        <v>48</v>
      </c>
      <c r="AP56" s="536">
        <v>71.56</v>
      </c>
      <c r="AQ56" s="529">
        <v>100.19</v>
      </c>
      <c r="AR56" s="268"/>
      <c r="AS56" s="535">
        <v>48</v>
      </c>
      <c r="AT56" s="536">
        <v>72.8</v>
      </c>
      <c r="AU56" s="529">
        <v>101.92</v>
      </c>
      <c r="AV56" s="268"/>
      <c r="AW56" s="535">
        <v>48</v>
      </c>
      <c r="AX56" s="536">
        <v>74.03</v>
      </c>
      <c r="AY56" s="529">
        <v>103.64</v>
      </c>
      <c r="AZ56" s="268"/>
      <c r="BA56" s="535">
        <v>48</v>
      </c>
      <c r="BB56" s="536">
        <v>75.27</v>
      </c>
      <c r="BC56" s="529">
        <v>105.37</v>
      </c>
      <c r="BD56" s="268"/>
      <c r="BE56" s="535">
        <v>48</v>
      </c>
      <c r="BF56" s="536">
        <v>76.5</v>
      </c>
      <c r="BG56" s="529">
        <v>107.1</v>
      </c>
      <c r="BH56" s="268"/>
      <c r="BI56" s="535">
        <v>48</v>
      </c>
      <c r="BJ56" s="536">
        <v>77.73</v>
      </c>
      <c r="BK56" s="529">
        <v>108.83</v>
      </c>
      <c r="BL56" s="268"/>
    </row>
    <row r="57" spans="1:64" ht="23.25">
      <c r="A57" s="269">
        <v>49</v>
      </c>
      <c r="B57" s="1437">
        <f t="shared" si="0"/>
        <v>66.75</v>
      </c>
      <c r="C57" s="1438">
        <f t="shared" si="1"/>
        <v>93.45</v>
      </c>
      <c r="D57" s="262"/>
      <c r="E57" s="1420">
        <v>49</v>
      </c>
      <c r="F57" s="1421">
        <v>61.72</v>
      </c>
      <c r="G57" s="1414">
        <v>86.4</v>
      </c>
      <c r="H57" s="1404"/>
      <c r="I57" s="1420">
        <v>49</v>
      </c>
      <c r="J57" s="1421">
        <v>62.97</v>
      </c>
      <c r="K57" s="1414">
        <v>88.16</v>
      </c>
      <c r="L57" s="262"/>
      <c r="M57" s="535">
        <v>49</v>
      </c>
      <c r="N57" s="569">
        <v>64.23</v>
      </c>
      <c r="O57" s="569">
        <v>89.93</v>
      </c>
      <c r="P57" s="268"/>
      <c r="Q57" s="535">
        <v>49</v>
      </c>
      <c r="R57" s="569">
        <v>65.489999999999995</v>
      </c>
      <c r="S57" s="569">
        <v>91.69</v>
      </c>
      <c r="T57" s="268"/>
      <c r="U57" s="535">
        <v>49</v>
      </c>
      <c r="V57" s="569">
        <v>66.75</v>
      </c>
      <c r="W57" s="569">
        <v>93.45</v>
      </c>
      <c r="X57" s="268"/>
      <c r="Y57" s="535">
        <v>49</v>
      </c>
      <c r="Z57" s="536">
        <v>68.010000000000005</v>
      </c>
      <c r="AA57" s="529">
        <v>95.22</v>
      </c>
      <c r="AB57" s="268"/>
      <c r="AC57" s="535">
        <v>49</v>
      </c>
      <c r="AD57" s="536">
        <v>69.27</v>
      </c>
      <c r="AE57" s="529">
        <v>96.98</v>
      </c>
      <c r="AF57" s="268"/>
      <c r="AG57" s="535">
        <v>49</v>
      </c>
      <c r="AH57" s="536">
        <v>70.53</v>
      </c>
      <c r="AI57" s="529">
        <v>98.74</v>
      </c>
      <c r="AJ57" s="268"/>
      <c r="AK57" s="535">
        <v>49</v>
      </c>
      <c r="AL57" s="536">
        <v>71.790000000000006</v>
      </c>
      <c r="AM57" s="529">
        <v>100.51</v>
      </c>
      <c r="AN57" s="268"/>
      <c r="AO57" s="535">
        <v>49</v>
      </c>
      <c r="AP57" s="536">
        <v>73.05</v>
      </c>
      <c r="AQ57" s="529">
        <v>102.27</v>
      </c>
      <c r="AR57" s="268"/>
      <c r="AS57" s="535">
        <v>49</v>
      </c>
      <c r="AT57" s="536">
        <v>74.31</v>
      </c>
      <c r="AU57" s="529">
        <v>104.03</v>
      </c>
      <c r="AV57" s="268"/>
      <c r="AW57" s="535">
        <v>49</v>
      </c>
      <c r="AX57" s="536">
        <v>75.569999999999993</v>
      </c>
      <c r="AY57" s="529">
        <v>105.79</v>
      </c>
      <c r="AZ57" s="268"/>
      <c r="BA57" s="535">
        <v>49</v>
      </c>
      <c r="BB57" s="536">
        <v>76.83</v>
      </c>
      <c r="BC57" s="529">
        <v>107.56</v>
      </c>
      <c r="BD57" s="268"/>
      <c r="BE57" s="535">
        <v>49</v>
      </c>
      <c r="BF57" s="536">
        <v>78.09</v>
      </c>
      <c r="BG57" s="529">
        <v>109.32</v>
      </c>
      <c r="BH57" s="268"/>
      <c r="BI57" s="535">
        <v>49</v>
      </c>
      <c r="BJ57" s="536">
        <v>79.349999999999994</v>
      </c>
      <c r="BK57" s="529">
        <v>111.08</v>
      </c>
      <c r="BL57" s="268"/>
    </row>
    <row r="58" spans="1:64" ht="23.25">
      <c r="A58" s="269">
        <v>50</v>
      </c>
      <c r="B58" s="1437">
        <f t="shared" si="0"/>
        <v>68.099999999999994</v>
      </c>
      <c r="C58" s="1438">
        <f t="shared" si="1"/>
        <v>95.34</v>
      </c>
      <c r="D58" s="262"/>
      <c r="E58" s="1420">
        <v>50</v>
      </c>
      <c r="F58" s="1421">
        <v>62.96</v>
      </c>
      <c r="G58" s="1414">
        <v>88.15</v>
      </c>
      <c r="H58" s="1404"/>
      <c r="I58" s="1420">
        <v>50</v>
      </c>
      <c r="J58" s="1421">
        <v>64.25</v>
      </c>
      <c r="K58" s="1414">
        <v>89.94</v>
      </c>
      <c r="L58" s="262"/>
      <c r="M58" s="535">
        <v>50</v>
      </c>
      <c r="N58" s="569">
        <v>65.53</v>
      </c>
      <c r="O58" s="569">
        <v>91.74</v>
      </c>
      <c r="P58" s="268"/>
      <c r="Q58" s="535">
        <v>50</v>
      </c>
      <c r="R58" s="569">
        <v>66.819999999999993</v>
      </c>
      <c r="S58" s="569">
        <v>93.54</v>
      </c>
      <c r="T58" s="268"/>
      <c r="U58" s="535">
        <v>50</v>
      </c>
      <c r="V58" s="569">
        <v>68.099999999999994</v>
      </c>
      <c r="W58" s="569">
        <v>95.34</v>
      </c>
      <c r="X58" s="268"/>
      <c r="Y58" s="535">
        <v>50</v>
      </c>
      <c r="Z58" s="536">
        <v>69.39</v>
      </c>
      <c r="AA58" s="529">
        <v>97.14</v>
      </c>
      <c r="AB58" s="268"/>
      <c r="AC58" s="535">
        <v>50</v>
      </c>
      <c r="AD58" s="536">
        <v>70.67</v>
      </c>
      <c r="AE58" s="529">
        <v>98.94</v>
      </c>
      <c r="AF58" s="268"/>
      <c r="AG58" s="535">
        <v>50</v>
      </c>
      <c r="AH58" s="536">
        <v>71.959999999999994</v>
      </c>
      <c r="AI58" s="529">
        <v>100.74</v>
      </c>
      <c r="AJ58" s="268"/>
      <c r="AK58" s="535">
        <v>50</v>
      </c>
      <c r="AL58" s="536">
        <v>73.239999999999995</v>
      </c>
      <c r="AM58" s="529">
        <v>102.54</v>
      </c>
      <c r="AN58" s="268"/>
      <c r="AO58" s="535">
        <v>50</v>
      </c>
      <c r="AP58" s="536">
        <v>74.53</v>
      </c>
      <c r="AQ58" s="529">
        <v>104.34</v>
      </c>
      <c r="AR58" s="268"/>
      <c r="AS58" s="535">
        <v>50</v>
      </c>
      <c r="AT58" s="536">
        <v>75.81</v>
      </c>
      <c r="AU58" s="529">
        <v>106.14</v>
      </c>
      <c r="AV58" s="268"/>
      <c r="AW58" s="535">
        <v>50</v>
      </c>
      <c r="AX58" s="536">
        <v>77.099999999999994</v>
      </c>
      <c r="AY58" s="529">
        <v>107.93</v>
      </c>
      <c r="AZ58" s="268"/>
      <c r="BA58" s="535">
        <v>50</v>
      </c>
      <c r="BB58" s="536">
        <v>78.38</v>
      </c>
      <c r="BC58" s="529">
        <v>109.73</v>
      </c>
      <c r="BD58" s="268"/>
      <c r="BE58" s="535">
        <v>50</v>
      </c>
      <c r="BF58" s="536">
        <v>79.67</v>
      </c>
      <c r="BG58" s="529">
        <v>111.53</v>
      </c>
      <c r="BH58" s="268"/>
      <c r="BI58" s="535">
        <v>50</v>
      </c>
      <c r="BJ58" s="536">
        <v>80.95</v>
      </c>
      <c r="BK58" s="529">
        <v>113.33</v>
      </c>
      <c r="BL58" s="268"/>
    </row>
    <row r="59" spans="1:64" ht="23.25">
      <c r="A59" s="269">
        <v>51</v>
      </c>
      <c r="B59" s="1437">
        <f t="shared" si="0"/>
        <v>69.45</v>
      </c>
      <c r="C59" s="1438">
        <f t="shared" si="1"/>
        <v>97.24</v>
      </c>
      <c r="D59" s="262"/>
      <c r="E59" s="1420">
        <v>51</v>
      </c>
      <c r="F59" s="1421">
        <v>64.209999999999994</v>
      </c>
      <c r="G59" s="1414">
        <v>89.9</v>
      </c>
      <c r="H59" s="1404"/>
      <c r="I59" s="1420">
        <v>51</v>
      </c>
      <c r="J59" s="1421">
        <v>65.52</v>
      </c>
      <c r="K59" s="1414">
        <v>91.73</v>
      </c>
      <c r="L59" s="262"/>
      <c r="M59" s="535">
        <v>51</v>
      </c>
      <c r="N59" s="569">
        <v>66.83</v>
      </c>
      <c r="O59" s="569">
        <v>93.57</v>
      </c>
      <c r="P59" s="268"/>
      <c r="Q59" s="535">
        <v>51</v>
      </c>
      <c r="R59" s="569">
        <v>68.14</v>
      </c>
      <c r="S59" s="569">
        <v>95.4</v>
      </c>
      <c r="T59" s="268"/>
      <c r="U59" s="535">
        <v>51</v>
      </c>
      <c r="V59" s="569">
        <v>69.45</v>
      </c>
      <c r="W59" s="569">
        <v>97.24</v>
      </c>
      <c r="X59" s="268"/>
      <c r="Y59" s="535">
        <v>51</v>
      </c>
      <c r="Z59" s="536">
        <v>70.760000000000005</v>
      </c>
      <c r="AA59" s="529">
        <v>99.07</v>
      </c>
      <c r="AB59" s="268"/>
      <c r="AC59" s="535">
        <v>51</v>
      </c>
      <c r="AD59" s="536">
        <v>72.08</v>
      </c>
      <c r="AE59" s="529">
        <v>100.91</v>
      </c>
      <c r="AF59" s="268"/>
      <c r="AG59" s="535">
        <v>51</v>
      </c>
      <c r="AH59" s="536">
        <v>73.39</v>
      </c>
      <c r="AI59" s="529">
        <v>102.74</v>
      </c>
      <c r="AJ59" s="268"/>
      <c r="AK59" s="535">
        <v>51</v>
      </c>
      <c r="AL59" s="536">
        <v>74.7</v>
      </c>
      <c r="AM59" s="529">
        <v>104.58</v>
      </c>
      <c r="AN59" s="268"/>
      <c r="AO59" s="535">
        <v>51</v>
      </c>
      <c r="AP59" s="536">
        <v>76.010000000000005</v>
      </c>
      <c r="AQ59" s="529">
        <v>106.41</v>
      </c>
      <c r="AR59" s="268"/>
      <c r="AS59" s="535">
        <v>51</v>
      </c>
      <c r="AT59" s="536">
        <v>77.319999999999993</v>
      </c>
      <c r="AU59" s="529">
        <v>108.25</v>
      </c>
      <c r="AV59" s="268"/>
      <c r="AW59" s="535">
        <v>51</v>
      </c>
      <c r="AX59" s="536">
        <v>78.63</v>
      </c>
      <c r="AY59" s="529">
        <v>110.08</v>
      </c>
      <c r="AZ59" s="268"/>
      <c r="BA59" s="535">
        <v>51</v>
      </c>
      <c r="BB59" s="536">
        <v>79.94</v>
      </c>
      <c r="BC59" s="529">
        <v>111.92</v>
      </c>
      <c r="BD59" s="268"/>
      <c r="BE59" s="535">
        <v>51</v>
      </c>
      <c r="BF59" s="536">
        <v>81.25</v>
      </c>
      <c r="BG59" s="529">
        <v>113.75</v>
      </c>
      <c r="BH59" s="268"/>
      <c r="BI59" s="535">
        <v>51</v>
      </c>
      <c r="BJ59" s="536">
        <v>82.56</v>
      </c>
      <c r="BK59" s="529">
        <v>115.59</v>
      </c>
      <c r="BL59" s="268"/>
    </row>
    <row r="60" spans="1:64" ht="23.25">
      <c r="A60" s="269">
        <v>52</v>
      </c>
      <c r="B60" s="1437">
        <f t="shared" si="0"/>
        <v>70.8</v>
      </c>
      <c r="C60" s="1438">
        <f t="shared" si="1"/>
        <v>99.12</v>
      </c>
      <c r="D60" s="262"/>
      <c r="E60" s="1420">
        <v>52</v>
      </c>
      <c r="F60" s="1421">
        <v>65.45</v>
      </c>
      <c r="G60" s="1414">
        <v>91.63</v>
      </c>
      <c r="H60" s="1404"/>
      <c r="I60" s="1420">
        <v>52</v>
      </c>
      <c r="J60" s="1421">
        <v>66.790000000000006</v>
      </c>
      <c r="K60" s="1414">
        <v>93.5</v>
      </c>
      <c r="L60" s="262"/>
      <c r="M60" s="535">
        <v>52</v>
      </c>
      <c r="N60" s="569">
        <v>68.12</v>
      </c>
      <c r="O60" s="569">
        <v>95.37</v>
      </c>
      <c r="P60" s="268"/>
      <c r="Q60" s="535">
        <v>52</v>
      </c>
      <c r="R60" s="569">
        <v>69.459999999999994</v>
      </c>
      <c r="S60" s="569">
        <v>97.25</v>
      </c>
      <c r="T60" s="268"/>
      <c r="U60" s="535">
        <v>52</v>
      </c>
      <c r="V60" s="569">
        <v>70.8</v>
      </c>
      <c r="W60" s="569">
        <v>99.12</v>
      </c>
      <c r="X60" s="268"/>
      <c r="Y60" s="535">
        <v>52</v>
      </c>
      <c r="Z60" s="536">
        <v>72.13</v>
      </c>
      <c r="AA60" s="529">
        <v>100.99</v>
      </c>
      <c r="AB60" s="268"/>
      <c r="AC60" s="535">
        <v>52</v>
      </c>
      <c r="AD60" s="536">
        <v>73.47</v>
      </c>
      <c r="AE60" s="529">
        <v>102.86</v>
      </c>
      <c r="AF60" s="268"/>
      <c r="AG60" s="535">
        <v>52</v>
      </c>
      <c r="AH60" s="536">
        <v>74.81</v>
      </c>
      <c r="AI60" s="529">
        <v>104.73</v>
      </c>
      <c r="AJ60" s="268"/>
      <c r="AK60" s="535">
        <v>52</v>
      </c>
      <c r="AL60" s="536">
        <v>76.14</v>
      </c>
      <c r="AM60" s="529">
        <v>106.6</v>
      </c>
      <c r="AN60" s="268"/>
      <c r="AO60" s="535">
        <v>52</v>
      </c>
      <c r="AP60" s="536">
        <v>77.48</v>
      </c>
      <c r="AQ60" s="529">
        <v>108.47</v>
      </c>
      <c r="AR60" s="268"/>
      <c r="AS60" s="535">
        <v>52</v>
      </c>
      <c r="AT60" s="536">
        <v>78.819999999999993</v>
      </c>
      <c r="AU60" s="529">
        <v>110.34</v>
      </c>
      <c r="AV60" s="268"/>
      <c r="AW60" s="535">
        <v>52</v>
      </c>
      <c r="AX60" s="536">
        <v>80.150000000000006</v>
      </c>
      <c r="AY60" s="529">
        <v>112.21</v>
      </c>
      <c r="AZ60" s="268"/>
      <c r="BA60" s="535">
        <v>52</v>
      </c>
      <c r="BB60" s="536">
        <v>81.489999999999995</v>
      </c>
      <c r="BC60" s="529">
        <v>114.08</v>
      </c>
      <c r="BD60" s="268"/>
      <c r="BE60" s="535">
        <v>52</v>
      </c>
      <c r="BF60" s="536">
        <v>82.82</v>
      </c>
      <c r="BG60" s="529">
        <v>115.95</v>
      </c>
      <c r="BH60" s="268"/>
      <c r="BI60" s="535">
        <v>52</v>
      </c>
      <c r="BJ60" s="536">
        <v>84.16</v>
      </c>
      <c r="BK60" s="529">
        <v>117.83</v>
      </c>
      <c r="BL60" s="268"/>
    </row>
    <row r="61" spans="1:64" ht="23.25">
      <c r="A61" s="269">
        <v>53</v>
      </c>
      <c r="B61" s="1437">
        <f t="shared" si="0"/>
        <v>72.14</v>
      </c>
      <c r="C61" s="1438">
        <f t="shared" si="1"/>
        <v>101</v>
      </c>
      <c r="D61" s="262"/>
      <c r="E61" s="1420">
        <v>53</v>
      </c>
      <c r="F61" s="1421">
        <v>66.7</v>
      </c>
      <c r="G61" s="1414">
        <v>93.7</v>
      </c>
      <c r="H61" s="1404"/>
      <c r="I61" s="1420">
        <v>53</v>
      </c>
      <c r="J61" s="1421">
        <v>68.06</v>
      </c>
      <c r="K61" s="1414">
        <v>95.28</v>
      </c>
      <c r="L61" s="262"/>
      <c r="M61" s="535">
        <v>53</v>
      </c>
      <c r="N61" s="569">
        <v>69.42</v>
      </c>
      <c r="O61" s="569">
        <v>97.19</v>
      </c>
      <c r="P61" s="268"/>
      <c r="Q61" s="535">
        <v>53</v>
      </c>
      <c r="R61" s="569">
        <v>70.78</v>
      </c>
      <c r="S61" s="569">
        <v>99.1</v>
      </c>
      <c r="T61" s="268"/>
      <c r="U61" s="535">
        <v>53</v>
      </c>
      <c r="V61" s="569">
        <v>72.14</v>
      </c>
      <c r="W61" s="569">
        <v>101</v>
      </c>
      <c r="X61" s="268"/>
      <c r="Y61" s="535">
        <v>53</v>
      </c>
      <c r="Z61" s="536">
        <v>73.510000000000005</v>
      </c>
      <c r="AA61" s="529">
        <v>102.91</v>
      </c>
      <c r="AB61" s="268"/>
      <c r="AC61" s="535">
        <v>53</v>
      </c>
      <c r="AD61" s="536">
        <v>74.87</v>
      </c>
      <c r="AE61" s="529">
        <v>104.82</v>
      </c>
      <c r="AF61" s="268"/>
      <c r="AG61" s="535">
        <v>53</v>
      </c>
      <c r="AH61" s="536">
        <v>76.23</v>
      </c>
      <c r="AI61" s="529">
        <v>106.72</v>
      </c>
      <c r="AJ61" s="268"/>
      <c r="AK61" s="535">
        <v>53</v>
      </c>
      <c r="AL61" s="536">
        <v>77.59</v>
      </c>
      <c r="AM61" s="529">
        <v>108.63</v>
      </c>
      <c r="AN61" s="268"/>
      <c r="AO61" s="535">
        <v>53</v>
      </c>
      <c r="AP61" s="536">
        <v>78.95</v>
      </c>
      <c r="AQ61" s="529">
        <v>110.54</v>
      </c>
      <c r="AR61" s="268"/>
      <c r="AS61" s="535">
        <v>53</v>
      </c>
      <c r="AT61" s="536">
        <v>80.319999999999993</v>
      </c>
      <c r="AU61" s="529">
        <v>112.44</v>
      </c>
      <c r="AV61" s="268"/>
      <c r="AW61" s="535">
        <v>53</v>
      </c>
      <c r="AX61" s="536">
        <v>81.680000000000007</v>
      </c>
      <c r="AY61" s="529">
        <v>114.35</v>
      </c>
      <c r="AZ61" s="268"/>
      <c r="BA61" s="535">
        <v>53</v>
      </c>
      <c r="BB61" s="536">
        <v>83.04</v>
      </c>
      <c r="BC61" s="529">
        <v>116.26</v>
      </c>
      <c r="BD61" s="268"/>
      <c r="BE61" s="535">
        <v>53</v>
      </c>
      <c r="BF61" s="536">
        <v>84.4</v>
      </c>
      <c r="BG61" s="529">
        <v>118.16</v>
      </c>
      <c r="BH61" s="268"/>
      <c r="BI61" s="535">
        <v>53</v>
      </c>
      <c r="BJ61" s="536">
        <v>85.77</v>
      </c>
      <c r="BK61" s="529">
        <v>120.07</v>
      </c>
      <c r="BL61" s="268"/>
    </row>
    <row r="62" spans="1:64" ht="23.25">
      <c r="A62" s="269">
        <v>54</v>
      </c>
      <c r="B62" s="1437">
        <f t="shared" si="0"/>
        <v>73.5</v>
      </c>
      <c r="C62" s="1438">
        <f t="shared" si="1"/>
        <v>102.89</v>
      </c>
      <c r="D62" s="262"/>
      <c r="E62" s="1420">
        <v>54</v>
      </c>
      <c r="F62" s="1421">
        <v>67.94</v>
      </c>
      <c r="G62" s="1414">
        <v>95.12</v>
      </c>
      <c r="H62" s="1404"/>
      <c r="I62" s="1420">
        <v>54</v>
      </c>
      <c r="J62" s="1421">
        <v>69.33</v>
      </c>
      <c r="K62" s="1414">
        <v>97.06</v>
      </c>
      <c r="L62" s="262"/>
      <c r="M62" s="535">
        <v>54</v>
      </c>
      <c r="N62" s="569">
        <v>70.72</v>
      </c>
      <c r="O62" s="569">
        <v>99.01</v>
      </c>
      <c r="P62" s="268"/>
      <c r="Q62" s="535">
        <v>54</v>
      </c>
      <c r="R62" s="569">
        <v>72.11</v>
      </c>
      <c r="S62" s="569">
        <v>100.95</v>
      </c>
      <c r="T62" s="268"/>
      <c r="U62" s="535">
        <v>54</v>
      </c>
      <c r="V62" s="569">
        <v>73.5</v>
      </c>
      <c r="W62" s="569">
        <v>102.89</v>
      </c>
      <c r="X62" s="268"/>
      <c r="Y62" s="535">
        <v>54</v>
      </c>
      <c r="Z62" s="536">
        <v>74.88</v>
      </c>
      <c r="AA62" s="529">
        <v>104.84</v>
      </c>
      <c r="AB62" s="268"/>
      <c r="AC62" s="535">
        <v>54</v>
      </c>
      <c r="AD62" s="536">
        <v>76.27</v>
      </c>
      <c r="AE62" s="529">
        <v>106.78</v>
      </c>
      <c r="AF62" s="268"/>
      <c r="AG62" s="535">
        <v>54</v>
      </c>
      <c r="AH62" s="536">
        <v>77.66</v>
      </c>
      <c r="AI62" s="529">
        <v>108.72</v>
      </c>
      <c r="AJ62" s="268"/>
      <c r="AK62" s="535">
        <v>54</v>
      </c>
      <c r="AL62" s="536">
        <v>79.05</v>
      </c>
      <c r="AM62" s="529">
        <v>110.67</v>
      </c>
      <c r="AN62" s="268"/>
      <c r="AO62" s="535">
        <v>54</v>
      </c>
      <c r="AP62" s="536">
        <v>80.430000000000007</v>
      </c>
      <c r="AQ62" s="529">
        <v>112.61</v>
      </c>
      <c r="AR62" s="268"/>
      <c r="AS62" s="535">
        <v>54</v>
      </c>
      <c r="AT62" s="536">
        <v>81.819999999999993</v>
      </c>
      <c r="AU62" s="529">
        <v>114.55</v>
      </c>
      <c r="AV62" s="268"/>
      <c r="AW62" s="535">
        <v>54</v>
      </c>
      <c r="AX62" s="536">
        <v>83.21</v>
      </c>
      <c r="AY62" s="529">
        <v>116.49</v>
      </c>
      <c r="AZ62" s="268"/>
      <c r="BA62" s="535">
        <v>54</v>
      </c>
      <c r="BB62" s="536">
        <v>84.6</v>
      </c>
      <c r="BC62" s="529">
        <v>118.44</v>
      </c>
      <c r="BD62" s="268"/>
      <c r="BE62" s="535">
        <v>54</v>
      </c>
      <c r="BF62" s="536">
        <v>85.99</v>
      </c>
      <c r="BG62" s="529">
        <v>120.38</v>
      </c>
      <c r="BH62" s="268"/>
      <c r="BI62" s="535">
        <v>54</v>
      </c>
      <c r="BJ62" s="536">
        <v>87.32</v>
      </c>
      <c r="BK62" s="529">
        <v>122.32</v>
      </c>
      <c r="BL62" s="268"/>
    </row>
    <row r="63" spans="1:64" ht="23.25">
      <c r="A63" s="269">
        <v>55</v>
      </c>
      <c r="B63" s="1437">
        <f t="shared" si="0"/>
        <v>74.849999999999994</v>
      </c>
      <c r="C63" s="1438">
        <f t="shared" si="1"/>
        <v>104.79</v>
      </c>
      <c r="D63" s="262"/>
      <c r="E63" s="1420">
        <v>55</v>
      </c>
      <c r="F63" s="1421">
        <v>69.2</v>
      </c>
      <c r="G63" s="1414">
        <v>96.87</v>
      </c>
      <c r="H63" s="1404"/>
      <c r="I63" s="1420">
        <v>55</v>
      </c>
      <c r="J63" s="1421">
        <v>70.61</v>
      </c>
      <c r="K63" s="1414">
        <v>97.85</v>
      </c>
      <c r="L63" s="262"/>
      <c r="M63" s="535">
        <v>55</v>
      </c>
      <c r="N63" s="569">
        <v>72.02</v>
      </c>
      <c r="O63" s="569">
        <v>100.83</v>
      </c>
      <c r="P63" s="268"/>
      <c r="Q63" s="535">
        <v>55</v>
      </c>
      <c r="R63" s="569">
        <v>73.44</v>
      </c>
      <c r="S63" s="569">
        <v>102.81</v>
      </c>
      <c r="T63" s="268"/>
      <c r="U63" s="535">
        <v>55</v>
      </c>
      <c r="V63" s="569">
        <v>74.849999999999994</v>
      </c>
      <c r="W63" s="569">
        <v>104.79</v>
      </c>
      <c r="X63" s="268"/>
      <c r="Y63" s="535">
        <v>55</v>
      </c>
      <c r="Z63" s="536">
        <v>76.260000000000005</v>
      </c>
      <c r="AA63" s="529">
        <v>106.77</v>
      </c>
      <c r="AB63" s="268"/>
      <c r="AC63" s="535">
        <v>55</v>
      </c>
      <c r="AD63" s="536">
        <v>77.680000000000007</v>
      </c>
      <c r="AE63" s="529">
        <v>108.75</v>
      </c>
      <c r="AF63" s="268"/>
      <c r="AG63" s="535">
        <v>55</v>
      </c>
      <c r="AH63" s="536">
        <v>79.09</v>
      </c>
      <c r="AI63" s="529">
        <v>110.73</v>
      </c>
      <c r="AJ63" s="268"/>
      <c r="AK63" s="535">
        <v>55</v>
      </c>
      <c r="AL63" s="536">
        <v>80.5</v>
      </c>
      <c r="AM63" s="529">
        <v>112.71</v>
      </c>
      <c r="AN63" s="268"/>
      <c r="AO63" s="535">
        <v>55</v>
      </c>
      <c r="AP63" s="536">
        <v>81.92</v>
      </c>
      <c r="AQ63" s="529">
        <v>114.68</v>
      </c>
      <c r="AR63" s="268"/>
      <c r="AS63" s="535">
        <v>55</v>
      </c>
      <c r="AT63" s="536">
        <v>83.33</v>
      </c>
      <c r="AU63" s="529">
        <v>116.66</v>
      </c>
      <c r="AV63" s="268"/>
      <c r="AW63" s="535">
        <v>55</v>
      </c>
      <c r="AX63" s="536">
        <v>84.74</v>
      </c>
      <c r="AY63" s="529">
        <v>118.64</v>
      </c>
      <c r="AZ63" s="268"/>
      <c r="BA63" s="535">
        <v>55</v>
      </c>
      <c r="BB63" s="536">
        <v>86.16</v>
      </c>
      <c r="BC63" s="529">
        <v>120.62</v>
      </c>
      <c r="BD63" s="268"/>
      <c r="BE63" s="535">
        <v>55</v>
      </c>
      <c r="BF63" s="536">
        <v>87.57</v>
      </c>
      <c r="BG63" s="529">
        <v>122.6</v>
      </c>
      <c r="BH63" s="268"/>
      <c r="BI63" s="535">
        <v>55</v>
      </c>
      <c r="BJ63" s="536">
        <v>88.99</v>
      </c>
      <c r="BK63" s="529">
        <v>124.58</v>
      </c>
      <c r="BL63" s="268"/>
    </row>
    <row r="64" spans="1:64" ht="23.25">
      <c r="A64" s="269">
        <v>56</v>
      </c>
      <c r="B64" s="1437">
        <f t="shared" si="0"/>
        <v>76.19</v>
      </c>
      <c r="C64" s="1438">
        <f t="shared" si="1"/>
        <v>106.67</v>
      </c>
      <c r="D64" s="262"/>
      <c r="E64" s="1420">
        <v>56</v>
      </c>
      <c r="F64" s="1421">
        <v>70.44</v>
      </c>
      <c r="G64" s="1414">
        <v>98.61</v>
      </c>
      <c r="H64" s="1404"/>
      <c r="I64" s="1420">
        <v>56</v>
      </c>
      <c r="J64" s="1421">
        <v>71.88</v>
      </c>
      <c r="K64" s="1414">
        <v>100.63</v>
      </c>
      <c r="L64" s="262"/>
      <c r="M64" s="535">
        <v>56</v>
      </c>
      <c r="N64" s="569">
        <v>73.319999999999993</v>
      </c>
      <c r="O64" s="569">
        <v>102.64</v>
      </c>
      <c r="P64" s="268"/>
      <c r="Q64" s="535">
        <v>56</v>
      </c>
      <c r="R64" s="569">
        <v>74.75</v>
      </c>
      <c r="S64" s="569">
        <v>104.66</v>
      </c>
      <c r="T64" s="268"/>
      <c r="U64" s="535">
        <v>56</v>
      </c>
      <c r="V64" s="569">
        <v>76.19</v>
      </c>
      <c r="W64" s="569">
        <v>106.67</v>
      </c>
      <c r="X64" s="268"/>
      <c r="Y64" s="535">
        <v>56</v>
      </c>
      <c r="Z64" s="536">
        <v>77.63</v>
      </c>
      <c r="AA64" s="529">
        <v>108.69</v>
      </c>
      <c r="AB64" s="268"/>
      <c r="AC64" s="535">
        <v>56</v>
      </c>
      <c r="AD64" s="536">
        <v>79.069999999999993</v>
      </c>
      <c r="AE64" s="529">
        <v>110.7</v>
      </c>
      <c r="AF64" s="268"/>
      <c r="AG64" s="535">
        <v>56</v>
      </c>
      <c r="AH64" s="536">
        <v>80.510000000000005</v>
      </c>
      <c r="AI64" s="529">
        <v>112.72</v>
      </c>
      <c r="AJ64" s="268"/>
      <c r="AK64" s="535">
        <v>56</v>
      </c>
      <c r="AL64" s="536">
        <v>81.95</v>
      </c>
      <c r="AM64" s="529">
        <v>114.73</v>
      </c>
      <c r="AN64" s="268"/>
      <c r="AO64" s="535">
        <v>56</v>
      </c>
      <c r="AP64" s="536">
        <v>83.39</v>
      </c>
      <c r="AQ64" s="529">
        <v>116.75</v>
      </c>
      <c r="AR64" s="268"/>
      <c r="AS64" s="535">
        <v>56</v>
      </c>
      <c r="AT64" s="536">
        <v>84.83</v>
      </c>
      <c r="AU64" s="529">
        <v>118.76</v>
      </c>
      <c r="AV64" s="268"/>
      <c r="AW64" s="535">
        <v>56</v>
      </c>
      <c r="AX64" s="536">
        <v>86.27</v>
      </c>
      <c r="AY64" s="529">
        <v>120.78</v>
      </c>
      <c r="AZ64" s="268"/>
      <c r="BA64" s="535">
        <v>56</v>
      </c>
      <c r="BB64" s="536">
        <v>87.71</v>
      </c>
      <c r="BC64" s="529">
        <v>122.79</v>
      </c>
      <c r="BD64" s="268"/>
      <c r="BE64" s="535">
        <v>56</v>
      </c>
      <c r="BF64" s="536">
        <v>89.15</v>
      </c>
      <c r="BG64" s="529">
        <v>124.81</v>
      </c>
      <c r="BH64" s="268"/>
      <c r="BI64" s="535">
        <v>56</v>
      </c>
      <c r="BJ64" s="536">
        <v>90.59</v>
      </c>
      <c r="BK64" s="529">
        <v>126.82</v>
      </c>
      <c r="BL64" s="268"/>
    </row>
    <row r="65" spans="1:64" ht="23.25">
      <c r="A65" s="269">
        <v>57</v>
      </c>
      <c r="B65" s="1437">
        <f t="shared" si="0"/>
        <v>77.540000000000006</v>
      </c>
      <c r="C65" s="1438">
        <f t="shared" si="1"/>
        <v>108.56</v>
      </c>
      <c r="D65" s="262"/>
      <c r="E65" s="1420">
        <v>57</v>
      </c>
      <c r="F65" s="1421">
        <v>71.680000000000007</v>
      </c>
      <c r="G65" s="1414">
        <v>100.35</v>
      </c>
      <c r="H65" s="1404"/>
      <c r="I65" s="1420">
        <v>57</v>
      </c>
      <c r="J65" s="1421">
        <v>73.150000000000006</v>
      </c>
      <c r="K65" s="1414">
        <v>102.4</v>
      </c>
      <c r="L65" s="262"/>
      <c r="M65" s="535">
        <v>57</v>
      </c>
      <c r="N65" s="569">
        <v>74.61</v>
      </c>
      <c r="O65" s="569">
        <v>104.46</v>
      </c>
      <c r="P65" s="268"/>
      <c r="Q65" s="535">
        <v>57</v>
      </c>
      <c r="R65" s="569">
        <v>76.08</v>
      </c>
      <c r="S65" s="569">
        <v>106.51</v>
      </c>
      <c r="T65" s="268"/>
      <c r="U65" s="535">
        <v>57</v>
      </c>
      <c r="V65" s="569">
        <v>77.540000000000006</v>
      </c>
      <c r="W65" s="569">
        <v>108.56</v>
      </c>
      <c r="X65" s="268"/>
      <c r="Y65" s="535">
        <v>57</v>
      </c>
      <c r="Z65" s="536">
        <v>79.010000000000005</v>
      </c>
      <c r="AA65" s="529">
        <v>110.61</v>
      </c>
      <c r="AB65" s="268"/>
      <c r="AC65" s="535">
        <v>57</v>
      </c>
      <c r="AD65" s="536">
        <v>80.47</v>
      </c>
      <c r="AE65" s="529">
        <v>112.66</v>
      </c>
      <c r="AF65" s="268"/>
      <c r="AG65" s="535">
        <v>57</v>
      </c>
      <c r="AH65" s="536">
        <v>81.94</v>
      </c>
      <c r="AI65" s="529">
        <v>114.71</v>
      </c>
      <c r="AJ65" s="268"/>
      <c r="AK65" s="535">
        <v>57</v>
      </c>
      <c r="AL65" s="536">
        <v>83.4</v>
      </c>
      <c r="AM65" s="529">
        <v>116.76</v>
      </c>
      <c r="AN65" s="268"/>
      <c r="AO65" s="535">
        <v>57</v>
      </c>
      <c r="AP65" s="536">
        <v>84.87</v>
      </c>
      <c r="AQ65" s="529">
        <v>118.81</v>
      </c>
      <c r="AR65" s="268"/>
      <c r="AS65" s="535">
        <v>57</v>
      </c>
      <c r="AT65" s="536">
        <v>86.33</v>
      </c>
      <c r="AU65" s="529">
        <v>120.86</v>
      </c>
      <c r="AV65" s="268"/>
      <c r="AW65" s="535">
        <v>57</v>
      </c>
      <c r="AX65" s="536">
        <v>87.8</v>
      </c>
      <c r="AY65" s="529">
        <v>122.91</v>
      </c>
      <c r="AZ65" s="268"/>
      <c r="BA65" s="535">
        <v>57</v>
      </c>
      <c r="BB65" s="536">
        <v>89.26</v>
      </c>
      <c r="BC65" s="529">
        <v>124.96</v>
      </c>
      <c r="BD65" s="268"/>
      <c r="BE65" s="535">
        <v>57</v>
      </c>
      <c r="BF65" s="536">
        <v>90.73</v>
      </c>
      <c r="BG65" s="529">
        <v>127.02</v>
      </c>
      <c r="BH65" s="268"/>
      <c r="BI65" s="535">
        <v>57</v>
      </c>
      <c r="BJ65" s="536">
        <v>92.19</v>
      </c>
      <c r="BK65" s="529">
        <v>129.07</v>
      </c>
      <c r="BL65" s="268"/>
    </row>
    <row r="66" spans="1:64" ht="23.25">
      <c r="A66" s="269">
        <v>58</v>
      </c>
      <c r="B66" s="1437">
        <f t="shared" si="0"/>
        <v>78.89</v>
      </c>
      <c r="C66" s="1438">
        <f t="shared" si="1"/>
        <v>110.45</v>
      </c>
      <c r="D66" s="262"/>
      <c r="E66" s="1420">
        <v>58</v>
      </c>
      <c r="F66" s="1421">
        <v>72.930000000000007</v>
      </c>
      <c r="G66" s="1414">
        <v>102.1</v>
      </c>
      <c r="H66" s="1404"/>
      <c r="I66" s="1420">
        <v>58</v>
      </c>
      <c r="J66" s="1421">
        <v>74.42</v>
      </c>
      <c r="K66" s="1414">
        <v>104.19</v>
      </c>
      <c r="L66" s="262"/>
      <c r="M66" s="535">
        <v>58</v>
      </c>
      <c r="N66" s="569">
        <v>75.91</v>
      </c>
      <c r="O66" s="569">
        <v>106.27</v>
      </c>
      <c r="P66" s="268"/>
      <c r="Q66" s="535">
        <v>58</v>
      </c>
      <c r="R66" s="569">
        <v>77.400000000000006</v>
      </c>
      <c r="S66" s="569">
        <v>108.36</v>
      </c>
      <c r="T66" s="268"/>
      <c r="U66" s="535">
        <v>58</v>
      </c>
      <c r="V66" s="569">
        <v>78.89</v>
      </c>
      <c r="W66" s="569">
        <v>110.45</v>
      </c>
      <c r="X66" s="268"/>
      <c r="Y66" s="535">
        <v>58</v>
      </c>
      <c r="Z66" s="536">
        <v>80.38</v>
      </c>
      <c r="AA66" s="529">
        <v>112.54</v>
      </c>
      <c r="AB66" s="268"/>
      <c r="AC66" s="535">
        <v>58</v>
      </c>
      <c r="AD66" s="536">
        <v>81.87</v>
      </c>
      <c r="AE66" s="529">
        <v>114.62</v>
      </c>
      <c r="AF66" s="268"/>
      <c r="AG66" s="535">
        <v>58</v>
      </c>
      <c r="AH66" s="536">
        <v>83.36</v>
      </c>
      <c r="AI66" s="529">
        <v>116.71</v>
      </c>
      <c r="AJ66" s="268"/>
      <c r="AK66" s="535">
        <v>58</v>
      </c>
      <c r="AL66" s="536">
        <v>84.85</v>
      </c>
      <c r="AM66" s="529">
        <v>118.8</v>
      </c>
      <c r="AN66" s="268"/>
      <c r="AO66" s="535">
        <v>58</v>
      </c>
      <c r="AP66" s="536">
        <v>86.34</v>
      </c>
      <c r="AQ66" s="529">
        <v>120.88</v>
      </c>
      <c r="AR66" s="268"/>
      <c r="AS66" s="535">
        <v>58</v>
      </c>
      <c r="AT66" s="536">
        <v>87.84</v>
      </c>
      <c r="AU66" s="529">
        <v>122.97</v>
      </c>
      <c r="AV66" s="268"/>
      <c r="AW66" s="535">
        <v>58</v>
      </c>
      <c r="AX66" s="536">
        <v>89.33</v>
      </c>
      <c r="AY66" s="529">
        <v>125.06</v>
      </c>
      <c r="AZ66" s="268"/>
      <c r="BA66" s="535">
        <v>58</v>
      </c>
      <c r="BB66" s="536">
        <v>90.82</v>
      </c>
      <c r="BC66" s="529">
        <v>127.14</v>
      </c>
      <c r="BD66" s="268"/>
      <c r="BE66" s="535">
        <v>58</v>
      </c>
      <c r="BF66" s="536">
        <v>92.31</v>
      </c>
      <c r="BG66" s="529">
        <v>129.22999999999999</v>
      </c>
      <c r="BH66" s="268"/>
      <c r="BI66" s="535">
        <v>58</v>
      </c>
      <c r="BJ66" s="536">
        <v>93.8</v>
      </c>
      <c r="BK66" s="529">
        <v>131.32</v>
      </c>
      <c r="BL66" s="268"/>
    </row>
    <row r="67" spans="1:64" ht="23.25">
      <c r="A67" s="269">
        <v>59</v>
      </c>
      <c r="B67" s="1437">
        <f t="shared" si="0"/>
        <v>80.25</v>
      </c>
      <c r="C67" s="1438">
        <f t="shared" si="1"/>
        <v>112.34</v>
      </c>
      <c r="D67" s="262"/>
      <c r="E67" s="1420">
        <v>59</v>
      </c>
      <c r="F67" s="1421">
        <v>74.180000000000007</v>
      </c>
      <c r="G67" s="1414">
        <v>103.85</v>
      </c>
      <c r="H67" s="1404"/>
      <c r="I67" s="1420">
        <v>59</v>
      </c>
      <c r="J67" s="1421">
        <v>75.7</v>
      </c>
      <c r="K67" s="1414">
        <v>105.98</v>
      </c>
      <c r="L67" s="262"/>
      <c r="M67" s="535">
        <v>59</v>
      </c>
      <c r="N67" s="569">
        <v>77.209999999999994</v>
      </c>
      <c r="O67" s="569">
        <v>108.1</v>
      </c>
      <c r="P67" s="268"/>
      <c r="Q67" s="535">
        <v>59</v>
      </c>
      <c r="R67" s="569">
        <v>78.73</v>
      </c>
      <c r="S67" s="569">
        <v>110.22</v>
      </c>
      <c r="T67" s="268"/>
      <c r="U67" s="535">
        <v>59</v>
      </c>
      <c r="V67" s="569">
        <v>80.25</v>
      </c>
      <c r="W67" s="569">
        <v>112.34</v>
      </c>
      <c r="X67" s="268"/>
      <c r="Y67" s="535">
        <v>59</v>
      </c>
      <c r="Z67" s="536">
        <v>81.760000000000005</v>
      </c>
      <c r="AA67" s="529">
        <v>114.47</v>
      </c>
      <c r="AB67" s="268"/>
      <c r="AC67" s="535">
        <v>59</v>
      </c>
      <c r="AD67" s="536">
        <v>83.28</v>
      </c>
      <c r="AE67" s="529">
        <v>116.59</v>
      </c>
      <c r="AF67" s="268"/>
      <c r="AG67" s="535">
        <v>59</v>
      </c>
      <c r="AH67" s="536">
        <v>84.79</v>
      </c>
      <c r="AI67" s="529">
        <v>118.71</v>
      </c>
      <c r="AJ67" s="268"/>
      <c r="AK67" s="535">
        <v>59</v>
      </c>
      <c r="AL67" s="536">
        <v>86.31</v>
      </c>
      <c r="AM67" s="529">
        <v>120.84</v>
      </c>
      <c r="AN67" s="268"/>
      <c r="AO67" s="535">
        <v>59</v>
      </c>
      <c r="AP67" s="536">
        <v>87.83</v>
      </c>
      <c r="AQ67" s="529">
        <v>122.96</v>
      </c>
      <c r="AR67" s="268"/>
      <c r="AS67" s="535">
        <v>59</v>
      </c>
      <c r="AT67" s="536">
        <v>89.34</v>
      </c>
      <c r="AU67" s="529">
        <v>125.08</v>
      </c>
      <c r="AV67" s="268"/>
      <c r="AW67" s="535">
        <v>59</v>
      </c>
      <c r="AX67" s="536">
        <v>90.86</v>
      </c>
      <c r="AY67" s="529">
        <v>127.2</v>
      </c>
      <c r="AZ67" s="268"/>
      <c r="BA67" s="535">
        <v>59</v>
      </c>
      <c r="BB67" s="536">
        <v>92.38</v>
      </c>
      <c r="BC67" s="529">
        <v>129.33000000000001</v>
      </c>
      <c r="BD67" s="268"/>
      <c r="BE67" s="535">
        <v>59</v>
      </c>
      <c r="BF67" s="536">
        <v>93.89</v>
      </c>
      <c r="BG67" s="529">
        <v>131.44999999999999</v>
      </c>
      <c r="BH67" s="268"/>
      <c r="BI67" s="535">
        <v>59</v>
      </c>
      <c r="BJ67" s="536">
        <v>95.41</v>
      </c>
      <c r="BK67" s="529">
        <v>133.57</v>
      </c>
      <c r="BL67" s="268"/>
    </row>
    <row r="68" spans="1:64" ht="23.25">
      <c r="A68" s="269">
        <v>60</v>
      </c>
      <c r="B68" s="1437">
        <f t="shared" si="0"/>
        <v>81.599999999999994</v>
      </c>
      <c r="C68" s="1438">
        <f t="shared" si="1"/>
        <v>114.25</v>
      </c>
      <c r="D68" s="262"/>
      <c r="E68" s="1420">
        <v>60</v>
      </c>
      <c r="F68" s="1421">
        <v>75.44</v>
      </c>
      <c r="G68" s="1414">
        <v>105.61</v>
      </c>
      <c r="H68" s="1404"/>
      <c r="I68" s="1420">
        <v>60</v>
      </c>
      <c r="J68" s="1421">
        <v>76.98</v>
      </c>
      <c r="K68" s="1414">
        <v>107.77</v>
      </c>
      <c r="L68" s="262"/>
      <c r="M68" s="535">
        <v>60</v>
      </c>
      <c r="N68" s="569">
        <v>78.52</v>
      </c>
      <c r="O68" s="569">
        <v>109.93</v>
      </c>
      <c r="P68" s="268"/>
      <c r="Q68" s="535">
        <v>60</v>
      </c>
      <c r="R68" s="569">
        <v>80.06</v>
      </c>
      <c r="S68" s="569">
        <v>112.09</v>
      </c>
      <c r="T68" s="268"/>
      <c r="U68" s="535">
        <v>60</v>
      </c>
      <c r="V68" s="569">
        <v>81.599999999999994</v>
      </c>
      <c r="W68" s="569">
        <v>114.25</v>
      </c>
      <c r="X68" s="268"/>
      <c r="Y68" s="535">
        <v>60</v>
      </c>
      <c r="Z68" s="536">
        <v>83.15</v>
      </c>
      <c r="AA68" s="529">
        <v>116.4</v>
      </c>
      <c r="AB68" s="268"/>
      <c r="AC68" s="535">
        <v>60</v>
      </c>
      <c r="AD68" s="536">
        <v>84.69</v>
      </c>
      <c r="AE68" s="529">
        <v>118.56</v>
      </c>
      <c r="AF68" s="268"/>
      <c r="AG68" s="535">
        <v>60</v>
      </c>
      <c r="AH68" s="536">
        <v>86.23</v>
      </c>
      <c r="AI68" s="529">
        <v>120.72</v>
      </c>
      <c r="AJ68" s="268"/>
      <c r="AK68" s="535">
        <v>60</v>
      </c>
      <c r="AL68" s="536">
        <v>87.77</v>
      </c>
      <c r="AM68" s="529">
        <v>122.88</v>
      </c>
      <c r="AN68" s="268"/>
      <c r="AO68" s="535">
        <v>60</v>
      </c>
      <c r="AP68" s="536">
        <v>89.31</v>
      </c>
      <c r="AQ68" s="529">
        <v>125.04</v>
      </c>
      <c r="AR68" s="268"/>
      <c r="AS68" s="535">
        <v>60</v>
      </c>
      <c r="AT68" s="536">
        <v>90.86</v>
      </c>
      <c r="AU68" s="529">
        <v>127.2</v>
      </c>
      <c r="AV68" s="268"/>
      <c r="AW68" s="535">
        <v>60</v>
      </c>
      <c r="AX68" s="536">
        <v>92.4</v>
      </c>
      <c r="AY68" s="529">
        <v>129.36000000000001</v>
      </c>
      <c r="AZ68" s="268"/>
      <c r="BA68" s="535">
        <v>60</v>
      </c>
      <c r="BB68" s="536">
        <v>93.94</v>
      </c>
      <c r="BC68" s="529">
        <v>131.52000000000001</v>
      </c>
      <c r="BD68" s="268"/>
      <c r="BE68" s="535">
        <v>60</v>
      </c>
      <c r="BF68" s="536">
        <v>95.48</v>
      </c>
      <c r="BG68" s="529">
        <v>133.68</v>
      </c>
      <c r="BH68" s="268"/>
      <c r="BI68" s="535">
        <v>60</v>
      </c>
      <c r="BJ68" s="536">
        <v>97.02</v>
      </c>
      <c r="BK68" s="529">
        <v>135.83000000000001</v>
      </c>
      <c r="BL68" s="268"/>
    </row>
    <row r="69" spans="1:64" ht="23.25">
      <c r="A69" s="269">
        <v>61</v>
      </c>
      <c r="B69" s="1437">
        <f t="shared" si="0"/>
        <v>82.95</v>
      </c>
      <c r="C69" s="1438">
        <f t="shared" si="1"/>
        <v>116.13</v>
      </c>
      <c r="D69" s="262"/>
      <c r="E69" s="1420">
        <v>61</v>
      </c>
      <c r="F69" s="1421">
        <v>76.680000000000007</v>
      </c>
      <c r="G69" s="1414">
        <v>107.35</v>
      </c>
      <c r="H69" s="1404"/>
      <c r="I69" s="1420">
        <v>61</v>
      </c>
      <c r="J69" s="1421">
        <v>78.25</v>
      </c>
      <c r="K69" s="1414">
        <v>109.54</v>
      </c>
      <c r="L69" s="262"/>
      <c r="M69" s="535">
        <v>61</v>
      </c>
      <c r="N69" s="569">
        <v>79.81</v>
      </c>
      <c r="O69" s="569">
        <v>111.74</v>
      </c>
      <c r="P69" s="268"/>
      <c r="Q69" s="535">
        <v>61</v>
      </c>
      <c r="R69" s="569">
        <v>81.38</v>
      </c>
      <c r="S69" s="569">
        <v>113.93</v>
      </c>
      <c r="T69" s="268"/>
      <c r="U69" s="535">
        <v>61</v>
      </c>
      <c r="V69" s="569">
        <v>82.95</v>
      </c>
      <c r="W69" s="569">
        <v>116.13</v>
      </c>
      <c r="X69" s="268"/>
      <c r="Y69" s="535">
        <v>61</v>
      </c>
      <c r="Z69" s="536">
        <v>84.52</v>
      </c>
      <c r="AA69" s="529">
        <v>118.32</v>
      </c>
      <c r="AB69" s="268"/>
      <c r="AC69" s="535">
        <v>61</v>
      </c>
      <c r="AD69" s="536">
        <v>86.08</v>
      </c>
      <c r="AE69" s="529">
        <v>120.52</v>
      </c>
      <c r="AF69" s="268"/>
      <c r="AG69" s="535">
        <v>61</v>
      </c>
      <c r="AH69" s="536">
        <v>87.65</v>
      </c>
      <c r="AI69" s="529">
        <v>122.71</v>
      </c>
      <c r="AJ69" s="268"/>
      <c r="AK69" s="535">
        <v>61</v>
      </c>
      <c r="AL69" s="536">
        <v>89.22</v>
      </c>
      <c r="AM69" s="529">
        <v>124.91</v>
      </c>
      <c r="AN69" s="268"/>
      <c r="AO69" s="535">
        <v>61</v>
      </c>
      <c r="AP69" s="536">
        <v>90.79</v>
      </c>
      <c r="AQ69" s="529">
        <v>127.1</v>
      </c>
      <c r="AR69" s="268"/>
      <c r="AS69" s="535">
        <v>61</v>
      </c>
      <c r="AT69" s="536">
        <v>92.35</v>
      </c>
      <c r="AU69" s="529">
        <v>129.30000000000001</v>
      </c>
      <c r="AV69" s="268"/>
      <c r="AW69" s="535">
        <v>61</v>
      </c>
      <c r="AX69" s="536">
        <v>93.92</v>
      </c>
      <c r="AY69" s="529">
        <v>131.49</v>
      </c>
      <c r="AZ69" s="268"/>
      <c r="BA69" s="535">
        <v>61</v>
      </c>
      <c r="BB69" s="536">
        <v>95.49</v>
      </c>
      <c r="BC69" s="529">
        <v>133.69</v>
      </c>
      <c r="BD69" s="268"/>
      <c r="BE69" s="535">
        <v>61</v>
      </c>
      <c r="BF69" s="536">
        <v>97.06</v>
      </c>
      <c r="BG69" s="529">
        <v>135.88</v>
      </c>
      <c r="BH69" s="268"/>
      <c r="BI69" s="535">
        <v>61</v>
      </c>
      <c r="BJ69" s="536">
        <v>98.63</v>
      </c>
      <c r="BK69" s="529">
        <v>138.08000000000001</v>
      </c>
      <c r="BL69" s="268"/>
    </row>
    <row r="70" spans="1:64" ht="23.25">
      <c r="A70" s="269">
        <v>62</v>
      </c>
      <c r="B70" s="1437">
        <f t="shared" si="0"/>
        <v>84.3</v>
      </c>
      <c r="C70" s="1438">
        <f t="shared" si="1"/>
        <v>118.01</v>
      </c>
      <c r="D70" s="262"/>
      <c r="E70" s="1420">
        <v>62</v>
      </c>
      <c r="F70" s="1421">
        <v>77.92</v>
      </c>
      <c r="G70" s="1414">
        <v>109.09</v>
      </c>
      <c r="H70" s="1404"/>
      <c r="I70" s="1420">
        <v>62</v>
      </c>
      <c r="J70" s="1421">
        <v>79.52</v>
      </c>
      <c r="K70" s="1414">
        <v>111.32</v>
      </c>
      <c r="L70" s="262"/>
      <c r="M70" s="535">
        <v>62</v>
      </c>
      <c r="N70" s="569">
        <v>81.11</v>
      </c>
      <c r="O70" s="569">
        <v>113.55</v>
      </c>
      <c r="P70" s="268"/>
      <c r="Q70" s="535">
        <v>62</v>
      </c>
      <c r="R70" s="569">
        <v>82.7</v>
      </c>
      <c r="S70" s="569">
        <v>115.78</v>
      </c>
      <c r="T70" s="268"/>
      <c r="U70" s="535">
        <v>62</v>
      </c>
      <c r="V70" s="569">
        <v>84.3</v>
      </c>
      <c r="W70" s="569">
        <v>118.01</v>
      </c>
      <c r="X70" s="268"/>
      <c r="Y70" s="535">
        <v>62</v>
      </c>
      <c r="Z70" s="536">
        <v>85.89</v>
      </c>
      <c r="AA70" s="529">
        <v>120.24</v>
      </c>
      <c r="AB70" s="268"/>
      <c r="AC70" s="535">
        <v>62</v>
      </c>
      <c r="AD70" s="536">
        <v>87.48</v>
      </c>
      <c r="AE70" s="529">
        <v>122.48</v>
      </c>
      <c r="AF70" s="268"/>
      <c r="AG70" s="535">
        <v>62</v>
      </c>
      <c r="AH70" s="536">
        <v>89.08</v>
      </c>
      <c r="AI70" s="529">
        <v>124.71</v>
      </c>
      <c r="AJ70" s="268"/>
      <c r="AK70" s="535">
        <v>62</v>
      </c>
      <c r="AL70" s="536">
        <v>90.67</v>
      </c>
      <c r="AM70" s="529">
        <v>126.94</v>
      </c>
      <c r="AN70" s="268"/>
      <c r="AO70" s="535">
        <v>62</v>
      </c>
      <c r="AP70" s="536">
        <v>92.26</v>
      </c>
      <c r="AQ70" s="529">
        <v>129.16999999999999</v>
      </c>
      <c r="AR70" s="268"/>
      <c r="AS70" s="535">
        <v>62</v>
      </c>
      <c r="AT70" s="536">
        <v>93.86</v>
      </c>
      <c r="AU70" s="529">
        <v>131.4</v>
      </c>
      <c r="AV70" s="268"/>
      <c r="AW70" s="535">
        <v>62</v>
      </c>
      <c r="AX70" s="536">
        <v>95.45</v>
      </c>
      <c r="AY70" s="529">
        <v>133.63</v>
      </c>
      <c r="AZ70" s="268"/>
      <c r="BA70" s="535">
        <v>62</v>
      </c>
      <c r="BB70" s="536">
        <v>97.04</v>
      </c>
      <c r="BC70" s="529">
        <v>135.86000000000001</v>
      </c>
      <c r="BD70" s="268"/>
      <c r="BE70" s="535">
        <v>62</v>
      </c>
      <c r="BF70" s="536">
        <v>98.64</v>
      </c>
      <c r="BG70" s="529">
        <v>138.09</v>
      </c>
      <c r="BH70" s="268"/>
      <c r="BI70" s="535">
        <v>62</v>
      </c>
      <c r="BJ70" s="536">
        <v>100.23</v>
      </c>
      <c r="BK70" s="529">
        <v>140.32</v>
      </c>
      <c r="BL70" s="268"/>
    </row>
    <row r="71" spans="1:64" ht="23.25">
      <c r="A71" s="269">
        <v>63</v>
      </c>
      <c r="B71" s="1437">
        <f t="shared" si="0"/>
        <v>85.65</v>
      </c>
      <c r="C71" s="1438">
        <f t="shared" si="1"/>
        <v>119.91</v>
      </c>
      <c r="D71" s="262"/>
      <c r="E71" s="1420">
        <v>63</v>
      </c>
      <c r="F71" s="1421">
        <v>79.17</v>
      </c>
      <c r="G71" s="1414">
        <v>110.84</v>
      </c>
      <c r="H71" s="1404"/>
      <c r="I71" s="1420">
        <v>63</v>
      </c>
      <c r="J71" s="1421">
        <v>80.790000000000006</v>
      </c>
      <c r="K71" s="1414">
        <v>113.1</v>
      </c>
      <c r="L71" s="262"/>
      <c r="M71" s="535">
        <v>63</v>
      </c>
      <c r="N71" s="569">
        <v>82.41</v>
      </c>
      <c r="O71" s="569">
        <v>115.37</v>
      </c>
      <c r="P71" s="268"/>
      <c r="Q71" s="535">
        <v>63</v>
      </c>
      <c r="R71" s="569">
        <v>84.03</v>
      </c>
      <c r="S71" s="569">
        <v>117.64</v>
      </c>
      <c r="T71" s="268"/>
      <c r="U71" s="535">
        <v>63</v>
      </c>
      <c r="V71" s="569">
        <v>85.65</v>
      </c>
      <c r="W71" s="569">
        <v>119.91</v>
      </c>
      <c r="X71" s="268"/>
      <c r="Y71" s="535">
        <v>63</v>
      </c>
      <c r="Z71" s="536">
        <v>87.27</v>
      </c>
      <c r="AA71" s="529">
        <v>122.17</v>
      </c>
      <c r="AB71" s="268"/>
      <c r="AC71" s="535">
        <v>63</v>
      </c>
      <c r="AD71" s="536">
        <v>88.88</v>
      </c>
      <c r="AE71" s="529">
        <v>124.44</v>
      </c>
      <c r="AF71" s="268"/>
      <c r="AG71" s="535">
        <v>63</v>
      </c>
      <c r="AH71" s="536">
        <v>90.5</v>
      </c>
      <c r="AI71" s="529">
        <v>126.71</v>
      </c>
      <c r="AJ71" s="268"/>
      <c r="AK71" s="535">
        <v>63</v>
      </c>
      <c r="AL71" s="536">
        <v>92.12</v>
      </c>
      <c r="AM71" s="529">
        <v>128.97</v>
      </c>
      <c r="AN71" s="268"/>
      <c r="AO71" s="535">
        <v>63</v>
      </c>
      <c r="AP71" s="536">
        <v>93.74</v>
      </c>
      <c r="AQ71" s="529">
        <v>131.24</v>
      </c>
      <c r="AR71" s="268"/>
      <c r="AS71" s="535">
        <v>63</v>
      </c>
      <c r="AT71" s="536">
        <v>95.36</v>
      </c>
      <c r="AU71" s="529">
        <v>133.51</v>
      </c>
      <c r="AV71" s="268"/>
      <c r="AW71" s="535">
        <v>63</v>
      </c>
      <c r="AX71" s="536">
        <v>96.98</v>
      </c>
      <c r="AY71" s="529">
        <v>135.77000000000001</v>
      </c>
      <c r="AZ71" s="268"/>
      <c r="BA71" s="535">
        <v>63</v>
      </c>
      <c r="BB71" s="536">
        <v>98.6</v>
      </c>
      <c r="BC71" s="529">
        <v>138.04</v>
      </c>
      <c r="BD71" s="268"/>
      <c r="BE71" s="535">
        <v>63</v>
      </c>
      <c r="BF71" s="536">
        <v>100.22</v>
      </c>
      <c r="BG71" s="529">
        <v>140.31</v>
      </c>
      <c r="BH71" s="268"/>
      <c r="BI71" s="535">
        <v>63</v>
      </c>
      <c r="BJ71" s="536">
        <v>101.84</v>
      </c>
      <c r="BK71" s="529">
        <v>142.57</v>
      </c>
      <c r="BL71" s="268"/>
    </row>
    <row r="72" spans="1:64" ht="23.25">
      <c r="A72" s="269">
        <v>64</v>
      </c>
      <c r="B72" s="1437">
        <f t="shared" si="0"/>
        <v>87</v>
      </c>
      <c r="C72" s="1438">
        <f t="shared" si="1"/>
        <v>121.8</v>
      </c>
      <c r="D72" s="262"/>
      <c r="E72" s="1420">
        <v>64</v>
      </c>
      <c r="F72" s="1421">
        <v>80.42</v>
      </c>
      <c r="G72" s="1414">
        <v>112.59</v>
      </c>
      <c r="H72" s="1404"/>
      <c r="I72" s="1420">
        <v>64</v>
      </c>
      <c r="J72" s="1421">
        <v>82.07</v>
      </c>
      <c r="K72" s="1414">
        <v>114.89</v>
      </c>
      <c r="L72" s="262"/>
      <c r="M72" s="535">
        <v>64</v>
      </c>
      <c r="N72" s="569">
        <v>83.71</v>
      </c>
      <c r="O72" s="569">
        <v>117.2</v>
      </c>
      <c r="P72" s="268"/>
      <c r="Q72" s="535">
        <v>64</v>
      </c>
      <c r="R72" s="569">
        <v>85.36</v>
      </c>
      <c r="S72" s="569">
        <v>119.5</v>
      </c>
      <c r="T72" s="268"/>
      <c r="U72" s="535">
        <v>64</v>
      </c>
      <c r="V72" s="569">
        <v>87</v>
      </c>
      <c r="W72" s="569">
        <v>121.8</v>
      </c>
      <c r="X72" s="268"/>
      <c r="Y72" s="535">
        <v>64</v>
      </c>
      <c r="Z72" s="536">
        <v>88.65</v>
      </c>
      <c r="AA72" s="529">
        <v>124.1</v>
      </c>
      <c r="AB72" s="268"/>
      <c r="AC72" s="535">
        <v>64</v>
      </c>
      <c r="AD72" s="536">
        <v>90.29</v>
      </c>
      <c r="AE72" s="529">
        <v>126.41</v>
      </c>
      <c r="AF72" s="268"/>
      <c r="AG72" s="535">
        <v>64</v>
      </c>
      <c r="AH72" s="536">
        <v>91.94</v>
      </c>
      <c r="AI72" s="529">
        <v>128.71</v>
      </c>
      <c r="AJ72" s="268"/>
      <c r="AK72" s="535">
        <v>64</v>
      </c>
      <c r="AL72" s="536">
        <v>93.58</v>
      </c>
      <c r="AM72" s="529">
        <v>131.01</v>
      </c>
      <c r="AN72" s="268"/>
      <c r="AO72" s="535">
        <v>64</v>
      </c>
      <c r="AP72" s="536">
        <v>95.22</v>
      </c>
      <c r="AQ72" s="529">
        <v>133.31</v>
      </c>
      <c r="AR72" s="268"/>
      <c r="AS72" s="535">
        <v>64</v>
      </c>
      <c r="AT72" s="536">
        <v>96.87</v>
      </c>
      <c r="AU72" s="529">
        <v>135.62</v>
      </c>
      <c r="AV72" s="268"/>
      <c r="AW72" s="535">
        <v>64</v>
      </c>
      <c r="AX72" s="536">
        <v>98.51</v>
      </c>
      <c r="AY72" s="529">
        <v>137.91999999999999</v>
      </c>
      <c r="AZ72" s="268"/>
      <c r="BA72" s="535">
        <v>64</v>
      </c>
      <c r="BB72" s="536">
        <v>100.16</v>
      </c>
      <c r="BC72" s="529">
        <v>140.22</v>
      </c>
      <c r="BD72" s="268"/>
      <c r="BE72" s="535">
        <v>64</v>
      </c>
      <c r="BF72" s="536">
        <v>101.8</v>
      </c>
      <c r="BG72" s="529">
        <v>142.53</v>
      </c>
      <c r="BH72" s="268"/>
      <c r="BI72" s="535">
        <v>64</v>
      </c>
      <c r="BJ72" s="536">
        <v>103.45</v>
      </c>
      <c r="BK72" s="529">
        <v>144.83000000000001</v>
      </c>
      <c r="BL72" s="268"/>
    </row>
    <row r="73" spans="1:64" ht="23.25">
      <c r="A73" s="269">
        <v>65</v>
      </c>
      <c r="B73" s="1437">
        <f t="shared" si="0"/>
        <v>88.34</v>
      </c>
      <c r="C73" s="1438">
        <f t="shared" si="1"/>
        <v>123.67</v>
      </c>
      <c r="D73" s="262"/>
      <c r="E73" s="1420">
        <v>65</v>
      </c>
      <c r="F73" s="1421">
        <v>81.66</v>
      </c>
      <c r="G73" s="1414">
        <v>114.32</v>
      </c>
      <c r="H73" s="1404"/>
      <c r="I73" s="1420">
        <v>65</v>
      </c>
      <c r="J73" s="1421">
        <v>83.33</v>
      </c>
      <c r="K73" s="1414">
        <v>116.66</v>
      </c>
      <c r="L73" s="262"/>
      <c r="M73" s="535">
        <v>65</v>
      </c>
      <c r="N73" s="569">
        <v>85</v>
      </c>
      <c r="O73" s="569">
        <v>119</v>
      </c>
      <c r="P73" s="268"/>
      <c r="Q73" s="535">
        <v>65</v>
      </c>
      <c r="R73" s="569">
        <v>86.67</v>
      </c>
      <c r="S73" s="569">
        <v>121.33</v>
      </c>
      <c r="T73" s="268"/>
      <c r="U73" s="535">
        <v>65</v>
      </c>
      <c r="V73" s="569">
        <v>88.34</v>
      </c>
      <c r="W73" s="569">
        <v>123.67</v>
      </c>
      <c r="X73" s="268"/>
      <c r="Y73" s="535">
        <v>65</v>
      </c>
      <c r="Z73" s="536">
        <v>90.01</v>
      </c>
      <c r="AA73" s="529">
        <v>126.01</v>
      </c>
      <c r="AB73" s="268"/>
      <c r="AC73" s="535">
        <v>65</v>
      </c>
      <c r="AD73" s="536">
        <v>91.68</v>
      </c>
      <c r="AE73" s="529">
        <v>128.35</v>
      </c>
      <c r="AF73" s="268"/>
      <c r="AG73" s="535">
        <v>65</v>
      </c>
      <c r="AH73" s="536">
        <v>93.35</v>
      </c>
      <c r="AI73" s="529">
        <v>130.69</v>
      </c>
      <c r="AJ73" s="268"/>
      <c r="AK73" s="535">
        <v>65</v>
      </c>
      <c r="AL73" s="536">
        <v>95.02</v>
      </c>
      <c r="AM73" s="529">
        <v>133.03</v>
      </c>
      <c r="AN73" s="268"/>
      <c r="AO73" s="535">
        <v>65</v>
      </c>
      <c r="AP73" s="536">
        <v>96.69</v>
      </c>
      <c r="AQ73" s="529">
        <v>135.37</v>
      </c>
      <c r="AR73" s="268"/>
      <c r="AS73" s="535">
        <v>65</v>
      </c>
      <c r="AT73" s="536">
        <v>98.36</v>
      </c>
      <c r="AU73" s="529">
        <v>137.71</v>
      </c>
      <c r="AV73" s="268"/>
      <c r="AW73" s="535">
        <v>65</v>
      </c>
      <c r="AX73" s="536">
        <v>100.03</v>
      </c>
      <c r="AY73" s="529">
        <v>140.04</v>
      </c>
      <c r="AZ73" s="268"/>
      <c r="BA73" s="535">
        <v>65</v>
      </c>
      <c r="BB73" s="536">
        <v>101.7</v>
      </c>
      <c r="BC73" s="529">
        <v>142.38</v>
      </c>
      <c r="BD73" s="268"/>
      <c r="BE73" s="535">
        <v>65</v>
      </c>
      <c r="BF73" s="536">
        <v>103.37</v>
      </c>
      <c r="BG73" s="529">
        <v>144.72</v>
      </c>
      <c r="BH73" s="268"/>
      <c r="BI73" s="535">
        <v>65</v>
      </c>
      <c r="BJ73" s="536">
        <v>105.04</v>
      </c>
      <c r="BK73" s="529">
        <v>147.06</v>
      </c>
      <c r="BL73" s="268"/>
    </row>
    <row r="74" spans="1:64" ht="23.25">
      <c r="A74" s="269">
        <v>66</v>
      </c>
      <c r="B74" s="1437">
        <f t="shared" ref="B74:B137" si="2">IF($C$5=$G$5,F74,IF($C$5=$K$5,J74,IF($C$5=$O$5,N74,IF($C$5=$S$5,R74,IF($C$5=$W$5,V74,IF($C$5=$AA$5,Z74,IF($C$5=$AE$5,AD74,IF($C$5=$AI$5,AH74,IF($C$5=$AM$5,AL74,IF($C$5=$AQ$5,AP74,IF($C$5=$AU$5,AT74,IF($C$5=$AY$5,AX74,IF($C$5=$BC$5,BB74,IF($C$5=$BG$5,BF74,IF($C$5=$BK$5,BJ74,0)))))))))))))))</f>
        <v>89.7</v>
      </c>
      <c r="C74" s="1438">
        <f t="shared" ref="C74:C137" si="3">IF($C$5=$G$5,G74,IF($C$5=$K$5,K74,IF($C$5=$O$5,O74,IF($C$5=$S$5,S74,IF($C$5=$W$5,W74,IF($C$5=$AA$5,AA74,IF($C$5=$AE$5,AE74,IF($C$5=$AI$5,AI74,IF($C$5=$AM$5,AM74,IF($C$5=$AQ$5,AQ74,IF($C$5=$AU$5,AU74,IF($C$5=$AY$5,AY74,IF($C$5=$BC$5,BC74,IF($C$5=$BG$5,BG74,IF($C$5=$BK$5,BK74,0)))))))))))))))</f>
        <v>125.58</v>
      </c>
      <c r="D74" s="262"/>
      <c r="E74" s="1420">
        <v>66</v>
      </c>
      <c r="F74" s="1421">
        <v>82.91</v>
      </c>
      <c r="G74" s="1414">
        <v>116.08</v>
      </c>
      <c r="H74" s="1404"/>
      <c r="I74" s="1420">
        <v>66</v>
      </c>
      <c r="J74" s="1421">
        <v>84.61</v>
      </c>
      <c r="K74" s="1414">
        <v>118.45</v>
      </c>
      <c r="L74" s="262"/>
      <c r="M74" s="535">
        <v>66</v>
      </c>
      <c r="N74" s="569">
        <v>86.31</v>
      </c>
      <c r="O74" s="569">
        <v>120.83</v>
      </c>
      <c r="P74" s="268"/>
      <c r="Q74" s="535">
        <v>66</v>
      </c>
      <c r="R74" s="569">
        <v>88</v>
      </c>
      <c r="S74" s="569">
        <v>123.2</v>
      </c>
      <c r="T74" s="268"/>
      <c r="U74" s="535">
        <v>66</v>
      </c>
      <c r="V74" s="569">
        <v>89.7</v>
      </c>
      <c r="W74" s="569">
        <v>125.58</v>
      </c>
      <c r="X74" s="268"/>
      <c r="Y74" s="535">
        <v>66</v>
      </c>
      <c r="Z74" s="536">
        <v>91.4</v>
      </c>
      <c r="AA74" s="529">
        <v>127.95</v>
      </c>
      <c r="AB74" s="268"/>
      <c r="AC74" s="535">
        <v>66</v>
      </c>
      <c r="AD74" s="536">
        <v>93.09</v>
      </c>
      <c r="AE74" s="529">
        <v>130.33000000000001</v>
      </c>
      <c r="AF74" s="268"/>
      <c r="AG74" s="535">
        <v>66</v>
      </c>
      <c r="AH74" s="536">
        <v>94.79</v>
      </c>
      <c r="AI74" s="529">
        <v>132.69999999999999</v>
      </c>
      <c r="AJ74" s="268"/>
      <c r="AK74" s="535">
        <v>66</v>
      </c>
      <c r="AL74" s="536">
        <v>96.48</v>
      </c>
      <c r="AM74" s="529">
        <v>135.08000000000001</v>
      </c>
      <c r="AN74" s="268"/>
      <c r="AO74" s="535">
        <v>66</v>
      </c>
      <c r="AP74" s="536">
        <v>98.18</v>
      </c>
      <c r="AQ74" s="529">
        <v>137.44999999999999</v>
      </c>
      <c r="AR74" s="268"/>
      <c r="AS74" s="535">
        <v>66</v>
      </c>
      <c r="AT74" s="536">
        <v>99.88</v>
      </c>
      <c r="AU74" s="529">
        <v>139.83000000000001</v>
      </c>
      <c r="AV74" s="268"/>
      <c r="AW74" s="535">
        <v>66</v>
      </c>
      <c r="AX74" s="536">
        <v>101.57</v>
      </c>
      <c r="AY74" s="529">
        <v>142.19999999999999</v>
      </c>
      <c r="AZ74" s="268"/>
      <c r="BA74" s="535">
        <v>66</v>
      </c>
      <c r="BB74" s="536">
        <v>103.27</v>
      </c>
      <c r="BC74" s="529">
        <v>144.58000000000001</v>
      </c>
      <c r="BD74" s="268"/>
      <c r="BE74" s="535">
        <v>66</v>
      </c>
      <c r="BF74" s="536">
        <v>104.96</v>
      </c>
      <c r="BG74" s="529">
        <v>146.94999999999999</v>
      </c>
      <c r="BH74" s="268"/>
      <c r="BI74" s="535">
        <v>66</v>
      </c>
      <c r="BJ74" s="536">
        <v>106.66</v>
      </c>
      <c r="BK74" s="529">
        <v>149.33000000000001</v>
      </c>
      <c r="BL74" s="268"/>
    </row>
    <row r="75" spans="1:64" ht="23.25">
      <c r="A75" s="269">
        <v>67</v>
      </c>
      <c r="B75" s="1437">
        <f t="shared" si="2"/>
        <v>91.04</v>
      </c>
      <c r="C75" s="1438">
        <f t="shared" si="3"/>
        <v>127.46</v>
      </c>
      <c r="D75" s="262"/>
      <c r="E75" s="1420">
        <v>67</v>
      </c>
      <c r="F75" s="1421">
        <v>84.15</v>
      </c>
      <c r="G75" s="1414">
        <v>117.82</v>
      </c>
      <c r="H75" s="1404"/>
      <c r="I75" s="1420">
        <v>67</v>
      </c>
      <c r="J75" s="1421">
        <v>85.88</v>
      </c>
      <c r="K75" s="1414">
        <v>120.23</v>
      </c>
      <c r="L75" s="262"/>
      <c r="M75" s="535">
        <v>67</v>
      </c>
      <c r="N75" s="569">
        <v>87.6</v>
      </c>
      <c r="O75" s="569">
        <v>122.64</v>
      </c>
      <c r="P75" s="268"/>
      <c r="Q75" s="535">
        <v>67</v>
      </c>
      <c r="R75" s="569">
        <v>89.32</v>
      </c>
      <c r="S75" s="569">
        <v>125.05</v>
      </c>
      <c r="T75" s="268"/>
      <c r="U75" s="535">
        <v>67</v>
      </c>
      <c r="V75" s="569">
        <v>91.04</v>
      </c>
      <c r="W75" s="569">
        <v>127.46</v>
      </c>
      <c r="X75" s="268"/>
      <c r="Y75" s="535">
        <v>67</v>
      </c>
      <c r="Z75" s="536">
        <v>92.76</v>
      </c>
      <c r="AA75" s="529">
        <v>129.87</v>
      </c>
      <c r="AB75" s="268"/>
      <c r="AC75" s="535">
        <v>67</v>
      </c>
      <c r="AD75" s="536">
        <v>94.49</v>
      </c>
      <c r="AE75" s="529">
        <v>132.28</v>
      </c>
      <c r="AF75" s="268"/>
      <c r="AG75" s="535">
        <v>67</v>
      </c>
      <c r="AH75" s="536">
        <v>96.21</v>
      </c>
      <c r="AI75" s="529">
        <v>134.69</v>
      </c>
      <c r="AJ75" s="268"/>
      <c r="AK75" s="535">
        <v>67</v>
      </c>
      <c r="AL75" s="536">
        <v>97.93</v>
      </c>
      <c r="AM75" s="529">
        <v>137.1</v>
      </c>
      <c r="AN75" s="268"/>
      <c r="AO75" s="535">
        <v>67</v>
      </c>
      <c r="AP75" s="536">
        <v>99.65</v>
      </c>
      <c r="AQ75" s="529">
        <v>139.51</v>
      </c>
      <c r="AR75" s="268"/>
      <c r="AS75" s="535">
        <v>67</v>
      </c>
      <c r="AT75" s="536">
        <v>101.37</v>
      </c>
      <c r="AU75" s="529">
        <v>141.91999999999999</v>
      </c>
      <c r="AV75" s="268"/>
      <c r="AW75" s="535">
        <v>67</v>
      </c>
      <c r="AX75" s="536">
        <v>103.1</v>
      </c>
      <c r="AY75" s="529">
        <v>144.33000000000001</v>
      </c>
      <c r="AZ75" s="268"/>
      <c r="BA75" s="535">
        <v>67</v>
      </c>
      <c r="BB75" s="536">
        <v>104.82</v>
      </c>
      <c r="BC75" s="529">
        <v>146.74</v>
      </c>
      <c r="BD75" s="268"/>
      <c r="BE75" s="535">
        <v>67</v>
      </c>
      <c r="BF75" s="536">
        <v>106.54</v>
      </c>
      <c r="BG75" s="529">
        <v>149.15</v>
      </c>
      <c r="BH75" s="268"/>
      <c r="BI75" s="535">
        <v>67</v>
      </c>
      <c r="BJ75" s="536">
        <v>108.26</v>
      </c>
      <c r="BK75" s="529">
        <v>151.57</v>
      </c>
      <c r="BL75" s="268"/>
    </row>
    <row r="76" spans="1:64" ht="23.25">
      <c r="A76" s="269">
        <v>68</v>
      </c>
      <c r="B76" s="1437">
        <f t="shared" si="2"/>
        <v>92.39</v>
      </c>
      <c r="C76" s="1438">
        <f t="shared" si="3"/>
        <v>129.34</v>
      </c>
      <c r="D76" s="262"/>
      <c r="E76" s="1420">
        <v>68</v>
      </c>
      <c r="F76" s="1421">
        <v>85.4</v>
      </c>
      <c r="G76" s="1414">
        <v>119.56</v>
      </c>
      <c r="H76" s="1404"/>
      <c r="I76" s="1420">
        <v>68</v>
      </c>
      <c r="J76" s="1421">
        <v>87.15</v>
      </c>
      <c r="K76" s="1414">
        <v>122</v>
      </c>
      <c r="L76" s="262"/>
      <c r="M76" s="535">
        <v>68</v>
      </c>
      <c r="N76" s="569">
        <v>88.89</v>
      </c>
      <c r="O76" s="569">
        <v>124.45</v>
      </c>
      <c r="P76" s="268"/>
      <c r="Q76" s="535">
        <v>68</v>
      </c>
      <c r="R76" s="569">
        <v>90.64</v>
      </c>
      <c r="S76" s="569">
        <v>126.9</v>
      </c>
      <c r="T76" s="268"/>
      <c r="U76" s="535">
        <v>68</v>
      </c>
      <c r="V76" s="569">
        <v>92.39</v>
      </c>
      <c r="W76" s="569">
        <v>129.34</v>
      </c>
      <c r="X76" s="268"/>
      <c r="Y76" s="535">
        <v>68</v>
      </c>
      <c r="Z76" s="536">
        <v>94.14</v>
      </c>
      <c r="AA76" s="529">
        <v>131.79</v>
      </c>
      <c r="AB76" s="268"/>
      <c r="AC76" s="535">
        <v>68</v>
      </c>
      <c r="AD76" s="536">
        <v>95.88</v>
      </c>
      <c r="AE76" s="529">
        <v>134.24</v>
      </c>
      <c r="AF76" s="268"/>
      <c r="AG76" s="535">
        <v>68</v>
      </c>
      <c r="AH76" s="536">
        <v>97.63</v>
      </c>
      <c r="AI76" s="529">
        <v>136.68</v>
      </c>
      <c r="AJ76" s="268"/>
      <c r="AK76" s="535">
        <v>68</v>
      </c>
      <c r="AL76" s="536">
        <v>99.38</v>
      </c>
      <c r="AM76" s="529">
        <v>139.13</v>
      </c>
      <c r="AN76" s="268"/>
      <c r="AO76" s="535">
        <v>68</v>
      </c>
      <c r="AP76" s="536">
        <v>101.13</v>
      </c>
      <c r="AQ76" s="529">
        <v>141.58000000000001</v>
      </c>
      <c r="AR76" s="268"/>
      <c r="AS76" s="535">
        <v>68</v>
      </c>
      <c r="AT76" s="536">
        <v>102.87</v>
      </c>
      <c r="AU76" s="529">
        <v>144.02000000000001</v>
      </c>
      <c r="AV76" s="268"/>
      <c r="AW76" s="535">
        <v>68</v>
      </c>
      <c r="AX76" s="536">
        <v>104.62</v>
      </c>
      <c r="AY76" s="529">
        <v>146.47</v>
      </c>
      <c r="AZ76" s="268"/>
      <c r="BA76" s="535">
        <v>68</v>
      </c>
      <c r="BB76" s="536">
        <v>106.37</v>
      </c>
      <c r="BC76" s="529">
        <v>148.91999999999999</v>
      </c>
      <c r="BD76" s="268"/>
      <c r="BE76" s="535">
        <v>68</v>
      </c>
      <c r="BF76" s="536">
        <v>108.12</v>
      </c>
      <c r="BG76" s="529">
        <v>151.36000000000001</v>
      </c>
      <c r="BH76" s="268"/>
      <c r="BI76" s="535">
        <v>68</v>
      </c>
      <c r="BJ76" s="536">
        <v>109.86</v>
      </c>
      <c r="BK76" s="529">
        <v>153.81</v>
      </c>
      <c r="BL76" s="268"/>
    </row>
    <row r="77" spans="1:64" ht="23.25">
      <c r="A77" s="269">
        <v>69</v>
      </c>
      <c r="B77" s="1437">
        <f t="shared" si="2"/>
        <v>93.74</v>
      </c>
      <c r="C77" s="1438">
        <f t="shared" si="3"/>
        <v>131.22999999999999</v>
      </c>
      <c r="D77" s="262"/>
      <c r="E77" s="1420">
        <v>69</v>
      </c>
      <c r="F77" s="1421">
        <v>86.64</v>
      </c>
      <c r="G77" s="1414">
        <v>121.3</v>
      </c>
      <c r="H77" s="1404"/>
      <c r="I77" s="1420">
        <v>69</v>
      </c>
      <c r="J77" s="1421">
        <v>88.42</v>
      </c>
      <c r="K77" s="1414">
        <v>123.78</v>
      </c>
      <c r="L77" s="262"/>
      <c r="M77" s="535">
        <v>69</v>
      </c>
      <c r="N77" s="569">
        <v>90.19</v>
      </c>
      <c r="O77" s="569">
        <v>126.27</v>
      </c>
      <c r="P77" s="268"/>
      <c r="Q77" s="535">
        <v>69</v>
      </c>
      <c r="R77" s="569">
        <v>91.96</v>
      </c>
      <c r="S77" s="569">
        <v>128.75</v>
      </c>
      <c r="T77" s="268"/>
      <c r="U77" s="535">
        <v>69</v>
      </c>
      <c r="V77" s="569">
        <v>93.74</v>
      </c>
      <c r="W77" s="569">
        <v>131.22999999999999</v>
      </c>
      <c r="X77" s="268"/>
      <c r="Y77" s="535">
        <v>69</v>
      </c>
      <c r="Z77" s="536">
        <v>95.51</v>
      </c>
      <c r="AA77" s="529">
        <v>133.71</v>
      </c>
      <c r="AB77" s="268"/>
      <c r="AC77" s="535">
        <v>69</v>
      </c>
      <c r="AD77" s="536">
        <v>97.28</v>
      </c>
      <c r="AE77" s="529">
        <v>136.19999999999999</v>
      </c>
      <c r="AF77" s="268"/>
      <c r="AG77" s="535">
        <v>69</v>
      </c>
      <c r="AH77" s="536">
        <v>99.06</v>
      </c>
      <c r="AI77" s="529">
        <v>138.68</v>
      </c>
      <c r="AJ77" s="268"/>
      <c r="AK77" s="535">
        <v>69</v>
      </c>
      <c r="AL77" s="536">
        <v>100.83</v>
      </c>
      <c r="AM77" s="529">
        <v>141.16</v>
      </c>
      <c r="AN77" s="268"/>
      <c r="AO77" s="535">
        <v>69</v>
      </c>
      <c r="AP77" s="536">
        <v>102.6</v>
      </c>
      <c r="AQ77" s="529">
        <v>143.65</v>
      </c>
      <c r="AR77" s="268"/>
      <c r="AS77" s="535">
        <v>69</v>
      </c>
      <c r="AT77" s="536">
        <v>104.38</v>
      </c>
      <c r="AU77" s="529">
        <v>146.13</v>
      </c>
      <c r="AV77" s="268"/>
      <c r="AW77" s="535">
        <v>69</v>
      </c>
      <c r="AX77" s="536">
        <v>106.15</v>
      </c>
      <c r="AY77" s="529">
        <v>148.61000000000001</v>
      </c>
      <c r="AZ77" s="268"/>
      <c r="BA77" s="535">
        <v>69</v>
      </c>
      <c r="BB77" s="536">
        <v>107.92</v>
      </c>
      <c r="BC77" s="529">
        <v>151.09</v>
      </c>
      <c r="BD77" s="268"/>
      <c r="BE77" s="535">
        <v>69</v>
      </c>
      <c r="BF77" s="536">
        <v>109.7</v>
      </c>
      <c r="BG77" s="529">
        <v>153.58000000000001</v>
      </c>
      <c r="BH77" s="268"/>
      <c r="BI77" s="535">
        <v>69</v>
      </c>
      <c r="BJ77" s="536">
        <v>111.47</v>
      </c>
      <c r="BK77" s="529">
        <v>156.06</v>
      </c>
      <c r="BL77" s="268"/>
    </row>
    <row r="78" spans="1:64" ht="23.25">
      <c r="A78" s="269">
        <v>70</v>
      </c>
      <c r="B78" s="1437">
        <f t="shared" si="2"/>
        <v>95.09</v>
      </c>
      <c r="C78" s="1438">
        <f t="shared" si="3"/>
        <v>133.13</v>
      </c>
      <c r="D78" s="262"/>
      <c r="E78" s="1420">
        <v>70</v>
      </c>
      <c r="F78" s="1421">
        <v>87.89</v>
      </c>
      <c r="G78" s="1414">
        <v>123.05</v>
      </c>
      <c r="H78" s="1404"/>
      <c r="I78" s="1420">
        <v>70</v>
      </c>
      <c r="J78" s="1421">
        <v>89.69</v>
      </c>
      <c r="K78" s="1414">
        <v>125.57</v>
      </c>
      <c r="L78" s="262"/>
      <c r="M78" s="535">
        <v>70</v>
      </c>
      <c r="N78" s="569">
        <v>91.49</v>
      </c>
      <c r="O78" s="569">
        <v>128.09</v>
      </c>
      <c r="P78" s="268"/>
      <c r="Q78" s="535">
        <v>70</v>
      </c>
      <c r="R78" s="569">
        <v>93.29</v>
      </c>
      <c r="S78" s="569">
        <v>130.61000000000001</v>
      </c>
      <c r="T78" s="268"/>
      <c r="U78" s="535">
        <v>70</v>
      </c>
      <c r="V78" s="569">
        <v>95.09</v>
      </c>
      <c r="W78" s="569">
        <v>133.13</v>
      </c>
      <c r="X78" s="268"/>
      <c r="Y78" s="535">
        <v>70</v>
      </c>
      <c r="Z78" s="536">
        <v>96.89</v>
      </c>
      <c r="AA78" s="529">
        <v>135.63999999999999</v>
      </c>
      <c r="AB78" s="268"/>
      <c r="AC78" s="535">
        <v>70</v>
      </c>
      <c r="AD78" s="536">
        <v>98.69</v>
      </c>
      <c r="AE78" s="529">
        <v>138.16</v>
      </c>
      <c r="AF78" s="268"/>
      <c r="AG78" s="535">
        <v>70</v>
      </c>
      <c r="AH78" s="536">
        <v>100.49</v>
      </c>
      <c r="AI78" s="529">
        <v>140.68</v>
      </c>
      <c r="AJ78" s="268"/>
      <c r="AK78" s="535">
        <v>70</v>
      </c>
      <c r="AL78" s="536">
        <v>102.29</v>
      </c>
      <c r="AM78" s="529">
        <v>143.19999999999999</v>
      </c>
      <c r="AN78" s="268"/>
      <c r="AO78" s="535">
        <v>70</v>
      </c>
      <c r="AP78" s="536">
        <v>104.08</v>
      </c>
      <c r="AQ78" s="529">
        <v>145.72</v>
      </c>
      <c r="AR78" s="268"/>
      <c r="AS78" s="535">
        <v>70</v>
      </c>
      <c r="AT78" s="536">
        <v>105.88</v>
      </c>
      <c r="AU78" s="529">
        <v>148.24</v>
      </c>
      <c r="AV78" s="268"/>
      <c r="AW78" s="535">
        <v>70</v>
      </c>
      <c r="AX78" s="536">
        <v>107.68</v>
      </c>
      <c r="AY78" s="529">
        <v>150.76</v>
      </c>
      <c r="AZ78" s="268"/>
      <c r="BA78" s="535">
        <v>70</v>
      </c>
      <c r="BB78" s="536">
        <v>109.48</v>
      </c>
      <c r="BC78" s="529">
        <v>153.27000000000001</v>
      </c>
      <c r="BD78" s="268"/>
      <c r="BE78" s="535">
        <v>70</v>
      </c>
      <c r="BF78" s="536">
        <v>111.28</v>
      </c>
      <c r="BG78" s="529">
        <v>155.79</v>
      </c>
      <c r="BH78" s="268"/>
      <c r="BI78" s="535">
        <v>70</v>
      </c>
      <c r="BJ78" s="536">
        <v>113.08</v>
      </c>
      <c r="BK78" s="529">
        <v>158.31</v>
      </c>
      <c r="BL78" s="268"/>
    </row>
    <row r="79" spans="1:64" ht="23.25">
      <c r="A79" s="269">
        <v>71</v>
      </c>
      <c r="B79" s="1437">
        <f t="shared" si="2"/>
        <v>96.44</v>
      </c>
      <c r="C79" s="1438">
        <f t="shared" si="3"/>
        <v>135.02000000000001</v>
      </c>
      <c r="D79" s="262"/>
      <c r="E79" s="1420">
        <v>71</v>
      </c>
      <c r="F79" s="1421">
        <v>89.15</v>
      </c>
      <c r="G79" s="1414">
        <v>124.8</v>
      </c>
      <c r="H79" s="1404"/>
      <c r="I79" s="1420">
        <v>71</v>
      </c>
      <c r="J79" s="1421">
        <v>90.97</v>
      </c>
      <c r="K79" s="1414">
        <v>127.36</v>
      </c>
      <c r="L79" s="262"/>
      <c r="M79" s="535">
        <v>71</v>
      </c>
      <c r="N79" s="569">
        <v>92.8</v>
      </c>
      <c r="O79" s="569">
        <v>129.91</v>
      </c>
      <c r="P79" s="268"/>
      <c r="Q79" s="535">
        <v>71</v>
      </c>
      <c r="R79" s="569">
        <v>94.62</v>
      </c>
      <c r="S79" s="569">
        <v>132.47</v>
      </c>
      <c r="T79" s="268"/>
      <c r="U79" s="535">
        <v>71</v>
      </c>
      <c r="V79" s="569">
        <v>96.44</v>
      </c>
      <c r="W79" s="569">
        <v>135.02000000000001</v>
      </c>
      <c r="X79" s="268"/>
      <c r="Y79" s="535">
        <v>71</v>
      </c>
      <c r="Z79" s="536">
        <v>98.27</v>
      </c>
      <c r="AA79" s="529">
        <v>137.58000000000001</v>
      </c>
      <c r="AB79" s="268"/>
      <c r="AC79" s="535">
        <v>71</v>
      </c>
      <c r="AD79" s="536">
        <v>100.09</v>
      </c>
      <c r="AE79" s="529">
        <v>140.13</v>
      </c>
      <c r="AF79" s="268"/>
      <c r="AG79" s="535">
        <v>71</v>
      </c>
      <c r="AH79" s="536">
        <v>101.92</v>
      </c>
      <c r="AI79" s="529">
        <v>142.69</v>
      </c>
      <c r="AJ79" s="268"/>
      <c r="AK79" s="535">
        <v>71</v>
      </c>
      <c r="AL79" s="536">
        <v>103.74</v>
      </c>
      <c r="AM79" s="529">
        <v>145.24</v>
      </c>
      <c r="AN79" s="268"/>
      <c r="AO79" s="535">
        <v>71</v>
      </c>
      <c r="AP79" s="536">
        <v>105.57</v>
      </c>
      <c r="AQ79" s="529">
        <v>147.80000000000001</v>
      </c>
      <c r="AR79" s="268"/>
      <c r="AS79" s="535">
        <v>71</v>
      </c>
      <c r="AT79" s="536">
        <v>107.39</v>
      </c>
      <c r="AU79" s="529">
        <v>150.35</v>
      </c>
      <c r="AV79" s="268"/>
      <c r="AW79" s="535">
        <v>71</v>
      </c>
      <c r="AX79" s="536">
        <v>109.22</v>
      </c>
      <c r="AY79" s="529">
        <v>152.9</v>
      </c>
      <c r="AZ79" s="268"/>
      <c r="BA79" s="535">
        <v>71</v>
      </c>
      <c r="BB79" s="536">
        <v>111.04</v>
      </c>
      <c r="BC79" s="529">
        <v>155.46</v>
      </c>
      <c r="BD79" s="268"/>
      <c r="BE79" s="535">
        <v>71</v>
      </c>
      <c r="BF79" s="536">
        <v>112.87</v>
      </c>
      <c r="BG79" s="529">
        <v>158.01</v>
      </c>
      <c r="BH79" s="268"/>
      <c r="BI79" s="535">
        <v>71</v>
      </c>
      <c r="BJ79" s="536">
        <v>114.69</v>
      </c>
      <c r="BK79" s="529">
        <v>160.57</v>
      </c>
      <c r="BL79" s="268"/>
    </row>
    <row r="80" spans="1:64" ht="23.25">
      <c r="A80" s="269">
        <v>72</v>
      </c>
      <c r="B80" s="1437">
        <f t="shared" si="2"/>
        <v>97.8</v>
      </c>
      <c r="C80" s="1438">
        <f t="shared" si="3"/>
        <v>136.91999999999999</v>
      </c>
      <c r="D80" s="262"/>
      <c r="E80" s="1420">
        <v>72</v>
      </c>
      <c r="F80" s="1421">
        <v>90.4</v>
      </c>
      <c r="G80" s="1414">
        <v>126.56</v>
      </c>
      <c r="H80" s="1404"/>
      <c r="I80" s="1420">
        <v>72</v>
      </c>
      <c r="J80" s="1421">
        <v>92.25</v>
      </c>
      <c r="K80" s="1414">
        <v>129.15</v>
      </c>
      <c r="L80" s="262"/>
      <c r="M80" s="535">
        <v>72</v>
      </c>
      <c r="N80" s="569">
        <v>94.1</v>
      </c>
      <c r="O80" s="569">
        <v>131.74</v>
      </c>
      <c r="P80" s="268"/>
      <c r="Q80" s="535">
        <v>72</v>
      </c>
      <c r="R80" s="569">
        <v>95.95</v>
      </c>
      <c r="S80" s="569">
        <v>134.33000000000001</v>
      </c>
      <c r="T80" s="268"/>
      <c r="U80" s="535">
        <v>72</v>
      </c>
      <c r="V80" s="569">
        <v>97.8</v>
      </c>
      <c r="W80" s="569">
        <v>136.91999999999999</v>
      </c>
      <c r="X80" s="268"/>
      <c r="Y80" s="535">
        <v>72</v>
      </c>
      <c r="Z80" s="536">
        <v>99.65</v>
      </c>
      <c r="AA80" s="529">
        <v>139.52000000000001</v>
      </c>
      <c r="AB80" s="268"/>
      <c r="AC80" s="535">
        <v>72</v>
      </c>
      <c r="AD80" s="536">
        <v>101.5</v>
      </c>
      <c r="AE80" s="529">
        <v>142.11000000000001</v>
      </c>
      <c r="AF80" s="268"/>
      <c r="AG80" s="535">
        <v>72</v>
      </c>
      <c r="AH80" s="536">
        <v>103.35</v>
      </c>
      <c r="AI80" s="529">
        <v>144.69999999999999</v>
      </c>
      <c r="AJ80" s="268"/>
      <c r="AK80" s="535">
        <v>72</v>
      </c>
      <c r="AL80" s="536">
        <v>105.21</v>
      </c>
      <c r="AM80" s="529">
        <v>147.29</v>
      </c>
      <c r="AN80" s="268"/>
      <c r="AO80" s="535">
        <v>72</v>
      </c>
      <c r="AP80" s="536">
        <v>107.06</v>
      </c>
      <c r="AQ80" s="529">
        <v>149.88</v>
      </c>
      <c r="AR80" s="268"/>
      <c r="AS80" s="535">
        <v>72</v>
      </c>
      <c r="AT80" s="536">
        <v>108.91</v>
      </c>
      <c r="AU80" s="529">
        <v>152.47</v>
      </c>
      <c r="AV80" s="268"/>
      <c r="AW80" s="535">
        <v>72</v>
      </c>
      <c r="AX80" s="536">
        <v>110.76</v>
      </c>
      <c r="AY80" s="529">
        <v>155.06</v>
      </c>
      <c r="AZ80" s="268"/>
      <c r="BA80" s="535">
        <v>72</v>
      </c>
      <c r="BB80" s="536">
        <v>112.61</v>
      </c>
      <c r="BC80" s="529">
        <v>157.65</v>
      </c>
      <c r="BD80" s="268"/>
      <c r="BE80" s="535">
        <v>72</v>
      </c>
      <c r="BF80" s="536">
        <v>114.46</v>
      </c>
      <c r="BG80" s="529">
        <v>160.24</v>
      </c>
      <c r="BH80" s="268"/>
      <c r="BI80" s="535">
        <v>72</v>
      </c>
      <c r="BJ80" s="536">
        <v>116.31</v>
      </c>
      <c r="BK80" s="529">
        <v>162.83000000000001</v>
      </c>
      <c r="BL80" s="268"/>
    </row>
    <row r="81" spans="1:64" ht="23.25">
      <c r="A81" s="269">
        <v>73</v>
      </c>
      <c r="B81" s="1437">
        <f t="shared" si="2"/>
        <v>99.14</v>
      </c>
      <c r="C81" s="1438">
        <f t="shared" si="3"/>
        <v>138.80000000000001</v>
      </c>
      <c r="D81" s="262"/>
      <c r="E81" s="1420">
        <v>73</v>
      </c>
      <c r="F81" s="1421">
        <v>91.64</v>
      </c>
      <c r="G81" s="1414">
        <v>128.29</v>
      </c>
      <c r="H81" s="1404"/>
      <c r="I81" s="1420">
        <v>73</v>
      </c>
      <c r="J81" s="1421">
        <v>93.51</v>
      </c>
      <c r="K81" s="1414">
        <v>130.91999999999999</v>
      </c>
      <c r="L81" s="262"/>
      <c r="M81" s="535">
        <v>73</v>
      </c>
      <c r="N81" s="569">
        <v>95.39</v>
      </c>
      <c r="O81" s="569">
        <v>133.54</v>
      </c>
      <c r="P81" s="268"/>
      <c r="Q81" s="535">
        <v>73</v>
      </c>
      <c r="R81" s="569">
        <v>97.26</v>
      </c>
      <c r="S81" s="569">
        <v>136.16999999999999</v>
      </c>
      <c r="T81" s="268"/>
      <c r="U81" s="535">
        <v>73</v>
      </c>
      <c r="V81" s="569">
        <v>99.14</v>
      </c>
      <c r="W81" s="569">
        <v>138.80000000000001</v>
      </c>
      <c r="X81" s="268"/>
      <c r="Y81" s="535">
        <v>73</v>
      </c>
      <c r="Z81" s="536">
        <v>101.02</v>
      </c>
      <c r="AA81" s="529">
        <v>141.41999999999999</v>
      </c>
      <c r="AB81" s="268"/>
      <c r="AC81" s="535">
        <v>73</v>
      </c>
      <c r="AD81" s="536">
        <v>102.89</v>
      </c>
      <c r="AE81" s="529">
        <v>144.05000000000001</v>
      </c>
      <c r="AF81" s="268"/>
      <c r="AG81" s="535">
        <v>73</v>
      </c>
      <c r="AH81" s="536">
        <v>104.77</v>
      </c>
      <c r="AI81" s="529">
        <v>146.68</v>
      </c>
      <c r="AJ81" s="268"/>
      <c r="AK81" s="535">
        <v>73</v>
      </c>
      <c r="AL81" s="536">
        <v>106.64</v>
      </c>
      <c r="AM81" s="529">
        <v>149.30000000000001</v>
      </c>
      <c r="AN81" s="268"/>
      <c r="AO81" s="535">
        <v>73</v>
      </c>
      <c r="AP81" s="536">
        <v>108.52</v>
      </c>
      <c r="AQ81" s="529">
        <v>151.93</v>
      </c>
      <c r="AR81" s="268"/>
      <c r="AS81" s="535">
        <v>73</v>
      </c>
      <c r="AT81" s="536">
        <v>110.4</v>
      </c>
      <c r="AU81" s="529">
        <v>154.56</v>
      </c>
      <c r="AV81" s="268"/>
      <c r="AW81" s="535">
        <v>73</v>
      </c>
      <c r="AX81" s="536">
        <v>112.27</v>
      </c>
      <c r="AY81" s="529">
        <v>157.18</v>
      </c>
      <c r="AZ81" s="268"/>
      <c r="BA81" s="535">
        <v>73</v>
      </c>
      <c r="BB81" s="536">
        <v>114.15</v>
      </c>
      <c r="BC81" s="529">
        <v>159.81</v>
      </c>
      <c r="BD81" s="268"/>
      <c r="BE81" s="535">
        <v>73</v>
      </c>
      <c r="BF81" s="536">
        <v>116.03</v>
      </c>
      <c r="BG81" s="529">
        <v>162.44</v>
      </c>
      <c r="BH81" s="268"/>
      <c r="BI81" s="535">
        <v>73</v>
      </c>
      <c r="BJ81" s="536">
        <v>117.9</v>
      </c>
      <c r="BK81" s="529">
        <v>165.06</v>
      </c>
      <c r="BL81" s="268"/>
    </row>
    <row r="82" spans="1:64" ht="23.25">
      <c r="A82" s="269">
        <v>74</v>
      </c>
      <c r="B82" s="1437">
        <f t="shared" si="2"/>
        <v>100.51</v>
      </c>
      <c r="C82" s="1438">
        <f t="shared" si="3"/>
        <v>140.71</v>
      </c>
      <c r="D82" s="262"/>
      <c r="E82" s="1420">
        <v>74</v>
      </c>
      <c r="F82" s="1421">
        <v>92.9</v>
      </c>
      <c r="G82" s="1414">
        <v>130.06</v>
      </c>
      <c r="H82" s="1404"/>
      <c r="I82" s="1420">
        <v>74</v>
      </c>
      <c r="J82" s="1421">
        <v>94.8</v>
      </c>
      <c r="K82" s="1414">
        <v>132.72</v>
      </c>
      <c r="L82" s="262"/>
      <c r="M82" s="535">
        <v>74</v>
      </c>
      <c r="N82" s="569">
        <v>96.7</v>
      </c>
      <c r="O82" s="569">
        <v>135.38</v>
      </c>
      <c r="P82" s="268"/>
      <c r="Q82" s="535">
        <v>74</v>
      </c>
      <c r="R82" s="569">
        <v>98.6</v>
      </c>
      <c r="S82" s="569">
        <v>138.04</v>
      </c>
      <c r="T82" s="268"/>
      <c r="U82" s="535">
        <v>74</v>
      </c>
      <c r="V82" s="569">
        <v>100.51</v>
      </c>
      <c r="W82" s="569">
        <v>140.71</v>
      </c>
      <c r="X82" s="268"/>
      <c r="Y82" s="535">
        <v>74</v>
      </c>
      <c r="Z82" s="536">
        <v>102.41</v>
      </c>
      <c r="AA82" s="529">
        <v>143.37</v>
      </c>
      <c r="AB82" s="268"/>
      <c r="AC82" s="535">
        <v>74</v>
      </c>
      <c r="AD82" s="536">
        <v>104.31</v>
      </c>
      <c r="AE82" s="529">
        <v>146.03</v>
      </c>
      <c r="AF82" s="268"/>
      <c r="AG82" s="535">
        <v>74</v>
      </c>
      <c r="AH82" s="536">
        <v>106.21</v>
      </c>
      <c r="AI82" s="529">
        <v>148.69999999999999</v>
      </c>
      <c r="AJ82" s="268"/>
      <c r="AK82" s="535">
        <v>74</v>
      </c>
      <c r="AL82" s="536">
        <v>108.11</v>
      </c>
      <c r="AM82" s="529">
        <v>151.36000000000001</v>
      </c>
      <c r="AN82" s="268"/>
      <c r="AO82" s="535">
        <v>74</v>
      </c>
      <c r="AP82" s="536">
        <v>110.01</v>
      </c>
      <c r="AQ82" s="529">
        <v>154.02000000000001</v>
      </c>
      <c r="AR82" s="268"/>
      <c r="AS82" s="535">
        <v>74</v>
      </c>
      <c r="AT82" s="536">
        <v>111.92</v>
      </c>
      <c r="AU82" s="529">
        <v>156.68</v>
      </c>
      <c r="AV82" s="268"/>
      <c r="AW82" s="535">
        <v>74</v>
      </c>
      <c r="AX82" s="536">
        <v>113.82</v>
      </c>
      <c r="AY82" s="529">
        <v>159.35</v>
      </c>
      <c r="AZ82" s="268"/>
      <c r="BA82" s="535">
        <v>74</v>
      </c>
      <c r="BB82" s="536">
        <v>115.72</v>
      </c>
      <c r="BC82" s="529">
        <v>162.01</v>
      </c>
      <c r="BD82" s="268"/>
      <c r="BE82" s="535">
        <v>74</v>
      </c>
      <c r="BF82" s="536">
        <v>117.62</v>
      </c>
      <c r="BG82" s="529">
        <v>164.67</v>
      </c>
      <c r="BH82" s="268"/>
      <c r="BI82" s="535">
        <v>74</v>
      </c>
      <c r="BJ82" s="536">
        <v>119.52</v>
      </c>
      <c r="BK82" s="529">
        <v>167.33</v>
      </c>
      <c r="BL82" s="268"/>
    </row>
    <row r="83" spans="1:64" ht="23.25">
      <c r="A83" s="269">
        <v>75</v>
      </c>
      <c r="B83" s="1437">
        <f t="shared" si="2"/>
        <v>101.85</v>
      </c>
      <c r="C83" s="1438">
        <f t="shared" si="3"/>
        <v>142.59</v>
      </c>
      <c r="D83" s="262"/>
      <c r="E83" s="1420">
        <v>75</v>
      </c>
      <c r="F83" s="1421">
        <v>94.14</v>
      </c>
      <c r="G83" s="1414">
        <v>131.79</v>
      </c>
      <c r="H83" s="1404"/>
      <c r="I83" s="1420">
        <v>75</v>
      </c>
      <c r="J83" s="1421">
        <v>96.06</v>
      </c>
      <c r="K83" s="1414">
        <v>134.49</v>
      </c>
      <c r="L83" s="262"/>
      <c r="M83" s="535">
        <v>75</v>
      </c>
      <c r="N83" s="569">
        <v>97.99</v>
      </c>
      <c r="O83" s="569">
        <v>137.19</v>
      </c>
      <c r="P83" s="268"/>
      <c r="Q83" s="535">
        <v>75</v>
      </c>
      <c r="R83" s="569">
        <v>99.92</v>
      </c>
      <c r="S83" s="569">
        <v>139.88999999999999</v>
      </c>
      <c r="T83" s="268"/>
      <c r="U83" s="535">
        <v>75</v>
      </c>
      <c r="V83" s="569">
        <v>101.85</v>
      </c>
      <c r="W83" s="569">
        <v>142.59</v>
      </c>
      <c r="X83" s="268"/>
      <c r="Y83" s="535">
        <v>75</v>
      </c>
      <c r="Z83" s="536">
        <v>103.77</v>
      </c>
      <c r="AA83" s="529">
        <v>145.28</v>
      </c>
      <c r="AB83" s="268"/>
      <c r="AC83" s="535">
        <v>75</v>
      </c>
      <c r="AD83" s="536">
        <v>105.7</v>
      </c>
      <c r="AE83" s="529">
        <v>147.97999999999999</v>
      </c>
      <c r="AF83" s="268"/>
      <c r="AG83" s="535">
        <v>75</v>
      </c>
      <c r="AH83" s="536">
        <v>107.63</v>
      </c>
      <c r="AI83" s="529">
        <v>150.68</v>
      </c>
      <c r="AJ83" s="268"/>
      <c r="AK83" s="535">
        <v>75</v>
      </c>
      <c r="AL83" s="536">
        <v>109.56</v>
      </c>
      <c r="AM83" s="529">
        <v>153.38</v>
      </c>
      <c r="AN83" s="268"/>
      <c r="AO83" s="535">
        <v>75</v>
      </c>
      <c r="AP83" s="536">
        <v>111.48</v>
      </c>
      <c r="AQ83" s="529">
        <v>156.08000000000001</v>
      </c>
      <c r="AR83" s="268"/>
      <c r="AS83" s="535">
        <v>75</v>
      </c>
      <c r="AT83" s="536">
        <v>113.41</v>
      </c>
      <c r="AU83" s="529">
        <v>158.78</v>
      </c>
      <c r="AV83" s="268"/>
      <c r="AW83" s="535">
        <v>75</v>
      </c>
      <c r="AX83" s="536">
        <v>115.34</v>
      </c>
      <c r="AY83" s="529">
        <v>161.47999999999999</v>
      </c>
      <c r="AZ83" s="268"/>
      <c r="BA83" s="535">
        <v>75</v>
      </c>
      <c r="BB83" s="536">
        <v>117.27</v>
      </c>
      <c r="BC83" s="529">
        <v>164.17</v>
      </c>
      <c r="BD83" s="268"/>
      <c r="BE83" s="535">
        <v>75</v>
      </c>
      <c r="BF83" s="536">
        <v>119.19</v>
      </c>
      <c r="BG83" s="529">
        <v>166.87</v>
      </c>
      <c r="BH83" s="268"/>
      <c r="BI83" s="535">
        <v>75</v>
      </c>
      <c r="BJ83" s="536">
        <v>121.12</v>
      </c>
      <c r="BK83" s="529">
        <v>169.57</v>
      </c>
      <c r="BL83" s="268"/>
    </row>
    <row r="84" spans="1:64" ht="23.25">
      <c r="A84" s="269">
        <v>76</v>
      </c>
      <c r="B84" s="1437">
        <f t="shared" si="2"/>
        <v>103.19</v>
      </c>
      <c r="C84" s="1438">
        <f t="shared" si="3"/>
        <v>144.47</v>
      </c>
      <c r="D84" s="262"/>
      <c r="E84" s="1420">
        <v>76</v>
      </c>
      <c r="F84" s="1421">
        <v>95.38</v>
      </c>
      <c r="G84" s="1414">
        <v>133.53</v>
      </c>
      <c r="H84" s="1404"/>
      <c r="I84" s="1420">
        <v>76</v>
      </c>
      <c r="J84" s="1421">
        <v>97.33</v>
      </c>
      <c r="K84" s="1414">
        <v>136.27000000000001</v>
      </c>
      <c r="L84" s="262"/>
      <c r="M84" s="535">
        <v>76</v>
      </c>
      <c r="N84" s="569">
        <v>99.29</v>
      </c>
      <c r="O84" s="569">
        <v>139</v>
      </c>
      <c r="P84" s="268"/>
      <c r="Q84" s="535">
        <v>76</v>
      </c>
      <c r="R84" s="569">
        <v>101.24</v>
      </c>
      <c r="S84" s="569">
        <v>141.72999999999999</v>
      </c>
      <c r="T84" s="268"/>
      <c r="U84" s="535">
        <v>76</v>
      </c>
      <c r="V84" s="569">
        <v>103.19</v>
      </c>
      <c r="W84" s="569">
        <v>144.47</v>
      </c>
      <c r="X84" s="268"/>
      <c r="Y84" s="535">
        <v>76</v>
      </c>
      <c r="Z84" s="536">
        <v>105.15</v>
      </c>
      <c r="AA84" s="529">
        <v>147.19999999999999</v>
      </c>
      <c r="AB84" s="268"/>
      <c r="AC84" s="535">
        <v>76</v>
      </c>
      <c r="AD84" s="536">
        <v>107.1</v>
      </c>
      <c r="AE84" s="529">
        <v>149.94</v>
      </c>
      <c r="AF84" s="268"/>
      <c r="AG84" s="535">
        <v>76</v>
      </c>
      <c r="AH84" s="536">
        <v>109.05</v>
      </c>
      <c r="AI84" s="529">
        <v>152.66999999999999</v>
      </c>
      <c r="AJ84" s="268"/>
      <c r="AK84" s="535">
        <v>76</v>
      </c>
      <c r="AL84" s="536">
        <v>111</v>
      </c>
      <c r="AM84" s="529">
        <v>155.41</v>
      </c>
      <c r="AN84" s="268"/>
      <c r="AO84" s="535">
        <v>76</v>
      </c>
      <c r="AP84" s="536">
        <v>112.96</v>
      </c>
      <c r="AQ84" s="529">
        <v>158.13999999999999</v>
      </c>
      <c r="AR84" s="268"/>
      <c r="AS84" s="535">
        <v>76</v>
      </c>
      <c r="AT84" s="536">
        <v>114.91</v>
      </c>
      <c r="AU84" s="529">
        <v>160.88</v>
      </c>
      <c r="AV84" s="268"/>
      <c r="AW84" s="535">
        <v>76</v>
      </c>
      <c r="AX84" s="536">
        <v>116.86</v>
      </c>
      <c r="AY84" s="529">
        <v>163.61000000000001</v>
      </c>
      <c r="AZ84" s="268"/>
      <c r="BA84" s="535">
        <v>76</v>
      </c>
      <c r="BB84" s="536">
        <v>118.82</v>
      </c>
      <c r="BC84" s="529">
        <v>166.34</v>
      </c>
      <c r="BD84" s="268"/>
      <c r="BE84" s="535">
        <v>76</v>
      </c>
      <c r="BF84" s="536">
        <v>120.77</v>
      </c>
      <c r="BG84" s="529">
        <v>169.08</v>
      </c>
      <c r="BH84" s="268"/>
      <c r="BI84" s="535">
        <v>76</v>
      </c>
      <c r="BJ84" s="536">
        <v>122.72</v>
      </c>
      <c r="BK84" s="529">
        <v>171.81</v>
      </c>
      <c r="BL84" s="268"/>
    </row>
    <row r="85" spans="1:64" ht="23.25">
      <c r="A85" s="269">
        <v>77</v>
      </c>
      <c r="B85" s="1437">
        <f t="shared" si="2"/>
        <v>104.54</v>
      </c>
      <c r="C85" s="1438">
        <f t="shared" si="3"/>
        <v>146.35</v>
      </c>
      <c r="D85" s="262"/>
      <c r="E85" s="1420">
        <v>77</v>
      </c>
      <c r="F85" s="1421">
        <v>96.62</v>
      </c>
      <c r="G85" s="1414">
        <v>135.27000000000001</v>
      </c>
      <c r="H85" s="1404"/>
      <c r="I85" s="1420">
        <v>77</v>
      </c>
      <c r="J85" s="1421">
        <v>98.6</v>
      </c>
      <c r="K85" s="1414">
        <v>138.04</v>
      </c>
      <c r="L85" s="262"/>
      <c r="M85" s="535">
        <v>77</v>
      </c>
      <c r="N85" s="569">
        <v>100.58</v>
      </c>
      <c r="O85" s="569">
        <v>140.81</v>
      </c>
      <c r="P85" s="268"/>
      <c r="Q85" s="535">
        <v>77</v>
      </c>
      <c r="R85" s="569">
        <v>102.56</v>
      </c>
      <c r="S85" s="569">
        <v>143.58000000000001</v>
      </c>
      <c r="T85" s="268"/>
      <c r="U85" s="535">
        <v>77</v>
      </c>
      <c r="V85" s="569">
        <v>104.54</v>
      </c>
      <c r="W85" s="569">
        <v>146.35</v>
      </c>
      <c r="X85" s="268"/>
      <c r="Y85" s="535">
        <v>77</v>
      </c>
      <c r="Z85" s="536">
        <v>106.52</v>
      </c>
      <c r="AA85" s="529">
        <v>132.91999999999999</v>
      </c>
      <c r="AB85" s="268"/>
      <c r="AC85" s="535">
        <v>77</v>
      </c>
      <c r="AD85" s="536">
        <v>108.5</v>
      </c>
      <c r="AE85" s="529">
        <v>151.9</v>
      </c>
      <c r="AF85" s="268"/>
      <c r="AG85" s="535">
        <v>77</v>
      </c>
      <c r="AH85" s="536">
        <v>110.48</v>
      </c>
      <c r="AI85" s="529">
        <v>154.66999999999999</v>
      </c>
      <c r="AJ85" s="268"/>
      <c r="AK85" s="535">
        <v>77</v>
      </c>
      <c r="AL85" s="536">
        <v>112.45</v>
      </c>
      <c r="AM85" s="529">
        <v>157.44</v>
      </c>
      <c r="AN85" s="268"/>
      <c r="AO85" s="535">
        <v>77</v>
      </c>
      <c r="AP85" s="536">
        <v>114.43</v>
      </c>
      <c r="AQ85" s="529">
        <v>160.21</v>
      </c>
      <c r="AR85" s="268"/>
      <c r="AS85" s="535">
        <v>77</v>
      </c>
      <c r="AT85" s="536">
        <v>116.41</v>
      </c>
      <c r="AU85" s="529">
        <v>162.97999999999999</v>
      </c>
      <c r="AV85" s="268"/>
      <c r="AW85" s="535">
        <v>77</v>
      </c>
      <c r="AX85" s="536">
        <v>118.39</v>
      </c>
      <c r="AY85" s="529">
        <v>165.75</v>
      </c>
      <c r="AZ85" s="268"/>
      <c r="BA85" s="535">
        <v>77</v>
      </c>
      <c r="BB85" s="536">
        <v>120.37</v>
      </c>
      <c r="BC85" s="529">
        <v>168.52</v>
      </c>
      <c r="BD85" s="268"/>
      <c r="BE85" s="535">
        <v>77</v>
      </c>
      <c r="BF85" s="536">
        <v>122.35</v>
      </c>
      <c r="BG85" s="529">
        <v>171.29</v>
      </c>
      <c r="BH85" s="268"/>
      <c r="BI85" s="535">
        <v>77</v>
      </c>
      <c r="BJ85" s="536">
        <v>124.33</v>
      </c>
      <c r="BK85" s="529">
        <v>174.06</v>
      </c>
      <c r="BL85" s="268"/>
    </row>
    <row r="86" spans="1:64" ht="23.25">
      <c r="A86" s="269">
        <v>78</v>
      </c>
      <c r="B86" s="1437">
        <f t="shared" si="2"/>
        <v>105.89</v>
      </c>
      <c r="C86" s="1438">
        <f t="shared" si="3"/>
        <v>148.24</v>
      </c>
      <c r="D86" s="262"/>
      <c r="E86" s="1420">
        <v>78</v>
      </c>
      <c r="F86" s="1421">
        <v>97.87</v>
      </c>
      <c r="G86" s="1414">
        <v>137.02000000000001</v>
      </c>
      <c r="H86" s="1404"/>
      <c r="I86" s="1420">
        <v>78</v>
      </c>
      <c r="J86" s="1421">
        <v>99.88</v>
      </c>
      <c r="K86" s="1414">
        <v>139.83000000000001</v>
      </c>
      <c r="L86" s="262"/>
      <c r="M86" s="535">
        <v>78</v>
      </c>
      <c r="N86" s="569">
        <v>101.88</v>
      </c>
      <c r="O86" s="569">
        <v>142.63</v>
      </c>
      <c r="P86" s="268"/>
      <c r="Q86" s="535">
        <v>78</v>
      </c>
      <c r="R86" s="569">
        <v>103.88</v>
      </c>
      <c r="S86" s="569">
        <v>145.44</v>
      </c>
      <c r="T86" s="268"/>
      <c r="U86" s="535">
        <v>78</v>
      </c>
      <c r="V86" s="569">
        <v>105.89</v>
      </c>
      <c r="W86" s="569">
        <v>148.24</v>
      </c>
      <c r="X86" s="268"/>
      <c r="Y86" s="535">
        <v>78</v>
      </c>
      <c r="Z86" s="536">
        <v>107.89</v>
      </c>
      <c r="AA86" s="529">
        <v>151.05000000000001</v>
      </c>
      <c r="AB86" s="268"/>
      <c r="AC86" s="535">
        <v>78</v>
      </c>
      <c r="AD86" s="536">
        <v>109.9</v>
      </c>
      <c r="AE86" s="529">
        <v>153.86000000000001</v>
      </c>
      <c r="AF86" s="268"/>
      <c r="AG86" s="535">
        <v>78</v>
      </c>
      <c r="AH86" s="536">
        <v>111.9</v>
      </c>
      <c r="AI86" s="529">
        <v>156.66</v>
      </c>
      <c r="AJ86" s="268"/>
      <c r="AK86" s="535">
        <v>78</v>
      </c>
      <c r="AL86" s="536">
        <v>113.91</v>
      </c>
      <c r="AM86" s="529">
        <v>159.47</v>
      </c>
      <c r="AN86" s="268"/>
      <c r="AO86" s="535">
        <v>78</v>
      </c>
      <c r="AP86" s="536">
        <v>115.91</v>
      </c>
      <c r="AQ86" s="529">
        <v>162.28</v>
      </c>
      <c r="AR86" s="268"/>
      <c r="AS86" s="535">
        <v>78</v>
      </c>
      <c r="AT86" s="536">
        <v>117.92</v>
      </c>
      <c r="AU86" s="529">
        <v>165.08</v>
      </c>
      <c r="AV86" s="268"/>
      <c r="AW86" s="535">
        <v>78</v>
      </c>
      <c r="AX86" s="536">
        <v>119.92</v>
      </c>
      <c r="AY86" s="529">
        <v>167.89</v>
      </c>
      <c r="AZ86" s="268"/>
      <c r="BA86" s="535">
        <v>78</v>
      </c>
      <c r="BB86" s="536">
        <v>212.93</v>
      </c>
      <c r="BC86" s="529">
        <v>170.7</v>
      </c>
      <c r="BD86" s="268"/>
      <c r="BE86" s="535">
        <v>78</v>
      </c>
      <c r="BF86" s="536">
        <v>123.93</v>
      </c>
      <c r="BG86" s="529">
        <v>173.5</v>
      </c>
      <c r="BH86" s="268"/>
      <c r="BI86" s="535">
        <v>78</v>
      </c>
      <c r="BJ86" s="536">
        <v>125.94</v>
      </c>
      <c r="BK86" s="529">
        <v>176.31</v>
      </c>
      <c r="BL86" s="268"/>
    </row>
    <row r="87" spans="1:64" ht="23.25">
      <c r="A87" s="269">
        <v>79</v>
      </c>
      <c r="B87" s="1437">
        <f t="shared" si="2"/>
        <v>107.24</v>
      </c>
      <c r="C87" s="1438">
        <f t="shared" si="3"/>
        <v>150.13999999999999</v>
      </c>
      <c r="D87" s="262"/>
      <c r="E87" s="1420">
        <v>79</v>
      </c>
      <c r="F87" s="1421">
        <v>99.12</v>
      </c>
      <c r="G87" s="1414">
        <v>138.77000000000001</v>
      </c>
      <c r="H87" s="1404"/>
      <c r="I87" s="1420">
        <v>79</v>
      </c>
      <c r="J87" s="1421">
        <v>101.15</v>
      </c>
      <c r="K87" s="1414">
        <v>141.61000000000001</v>
      </c>
      <c r="L87" s="262"/>
      <c r="M87" s="535">
        <v>79</v>
      </c>
      <c r="N87" s="569">
        <v>103.18</v>
      </c>
      <c r="O87" s="569">
        <v>144.44999999999999</v>
      </c>
      <c r="P87" s="268"/>
      <c r="Q87" s="535">
        <v>79</v>
      </c>
      <c r="R87" s="569">
        <v>105.21</v>
      </c>
      <c r="S87" s="569">
        <v>147.30000000000001</v>
      </c>
      <c r="T87" s="268"/>
      <c r="U87" s="535">
        <v>79</v>
      </c>
      <c r="V87" s="569">
        <v>107.24</v>
      </c>
      <c r="W87" s="569">
        <v>150.13999999999999</v>
      </c>
      <c r="X87" s="268"/>
      <c r="Y87" s="535">
        <v>79</v>
      </c>
      <c r="Z87" s="536">
        <v>109.27</v>
      </c>
      <c r="AA87" s="529">
        <v>152.97999999999999</v>
      </c>
      <c r="AB87" s="268"/>
      <c r="AC87" s="535">
        <v>79</v>
      </c>
      <c r="AD87" s="536">
        <v>111.3</v>
      </c>
      <c r="AE87" s="529">
        <v>155.82</v>
      </c>
      <c r="AF87" s="268"/>
      <c r="AG87" s="535">
        <v>79</v>
      </c>
      <c r="AH87" s="536">
        <v>113.33</v>
      </c>
      <c r="AI87" s="529">
        <v>158.66999999999999</v>
      </c>
      <c r="AJ87" s="268"/>
      <c r="AK87" s="535">
        <v>79</v>
      </c>
      <c r="AL87" s="536">
        <v>115.36</v>
      </c>
      <c r="AM87" s="529">
        <v>161.51</v>
      </c>
      <c r="AN87" s="268"/>
      <c r="AO87" s="535">
        <v>79</v>
      </c>
      <c r="AP87" s="536">
        <v>117.39</v>
      </c>
      <c r="AQ87" s="529">
        <v>164.35</v>
      </c>
      <c r="AR87" s="268"/>
      <c r="AS87" s="535">
        <v>79</v>
      </c>
      <c r="AT87" s="536">
        <v>119.42</v>
      </c>
      <c r="AU87" s="529">
        <v>167.19</v>
      </c>
      <c r="AV87" s="268"/>
      <c r="AW87" s="535">
        <v>79</v>
      </c>
      <c r="AX87" s="536">
        <v>121.45</v>
      </c>
      <c r="AY87" s="529">
        <v>170.04</v>
      </c>
      <c r="AZ87" s="268"/>
      <c r="BA87" s="535">
        <v>79</v>
      </c>
      <c r="BB87" s="536">
        <v>123.48</v>
      </c>
      <c r="BC87" s="529">
        <v>172.88</v>
      </c>
      <c r="BD87" s="268"/>
      <c r="BE87" s="535">
        <v>79</v>
      </c>
      <c r="BF87" s="536">
        <v>125.51</v>
      </c>
      <c r="BG87" s="529">
        <v>175.72</v>
      </c>
      <c r="BH87" s="268"/>
      <c r="BI87" s="535">
        <v>79</v>
      </c>
      <c r="BJ87" s="536">
        <v>127.54</v>
      </c>
      <c r="BK87" s="529">
        <v>178.56</v>
      </c>
      <c r="BL87" s="268"/>
    </row>
    <row r="88" spans="1:64" ht="23.25">
      <c r="A88" s="270">
        <v>80</v>
      </c>
      <c r="B88" s="1437">
        <f t="shared" si="2"/>
        <v>108.6</v>
      </c>
      <c r="C88" s="1438">
        <f t="shared" si="3"/>
        <v>152.04</v>
      </c>
      <c r="D88" s="262"/>
      <c r="E88" s="1422">
        <v>80</v>
      </c>
      <c r="F88" s="1416">
        <v>100.37</v>
      </c>
      <c r="G88" s="1417">
        <v>140.52000000000001</v>
      </c>
      <c r="H88" s="1404"/>
      <c r="I88" s="1422">
        <v>80</v>
      </c>
      <c r="J88" s="1416">
        <v>102.43</v>
      </c>
      <c r="K88" s="1417">
        <v>143.4</v>
      </c>
      <c r="L88" s="262"/>
      <c r="M88" s="537">
        <v>80</v>
      </c>
      <c r="N88" s="571">
        <v>104.49</v>
      </c>
      <c r="O88" s="571">
        <v>146.28</v>
      </c>
      <c r="P88" s="268"/>
      <c r="Q88" s="537">
        <v>80</v>
      </c>
      <c r="R88" s="571">
        <v>106.54</v>
      </c>
      <c r="S88" s="571">
        <v>149.16</v>
      </c>
      <c r="T88" s="268"/>
      <c r="U88" s="537">
        <v>80</v>
      </c>
      <c r="V88" s="571">
        <v>108.6</v>
      </c>
      <c r="W88" s="571">
        <v>152.04</v>
      </c>
      <c r="X88" s="268"/>
      <c r="Y88" s="537">
        <v>80</v>
      </c>
      <c r="Z88" s="531">
        <v>110.65</v>
      </c>
      <c r="AA88" s="532">
        <v>154.91</v>
      </c>
      <c r="AB88" s="268"/>
      <c r="AC88" s="537">
        <v>80</v>
      </c>
      <c r="AD88" s="531">
        <v>112.71</v>
      </c>
      <c r="AE88" s="532">
        <v>157.79</v>
      </c>
      <c r="AF88" s="268"/>
      <c r="AG88" s="537">
        <v>80</v>
      </c>
      <c r="AH88" s="531">
        <v>114.77</v>
      </c>
      <c r="AI88" s="532">
        <v>160.66999999999999</v>
      </c>
      <c r="AJ88" s="268"/>
      <c r="AK88" s="537">
        <v>80</v>
      </c>
      <c r="AL88" s="531">
        <v>116.82</v>
      </c>
      <c r="AM88" s="532">
        <v>163.55000000000001</v>
      </c>
      <c r="AN88" s="268"/>
      <c r="AO88" s="537">
        <v>80</v>
      </c>
      <c r="AP88" s="531">
        <v>118.88</v>
      </c>
      <c r="AQ88" s="532">
        <v>166.43</v>
      </c>
      <c r="AR88" s="268"/>
      <c r="AS88" s="537">
        <v>80</v>
      </c>
      <c r="AT88" s="531">
        <v>120.93</v>
      </c>
      <c r="AU88" s="532">
        <v>169.31</v>
      </c>
      <c r="AV88" s="268"/>
      <c r="AW88" s="537">
        <v>80</v>
      </c>
      <c r="AX88" s="531">
        <v>122.99</v>
      </c>
      <c r="AY88" s="532">
        <v>172.19</v>
      </c>
      <c r="AZ88" s="268"/>
      <c r="BA88" s="537">
        <v>80</v>
      </c>
      <c r="BB88" s="531">
        <v>125.05</v>
      </c>
      <c r="BC88" s="532">
        <v>175.06</v>
      </c>
      <c r="BD88" s="268"/>
      <c r="BE88" s="537">
        <v>80</v>
      </c>
      <c r="BF88" s="531">
        <v>127.1</v>
      </c>
      <c r="BG88" s="532">
        <v>177.94</v>
      </c>
      <c r="BH88" s="268"/>
      <c r="BI88" s="537">
        <v>80</v>
      </c>
      <c r="BJ88" s="531">
        <v>129.16</v>
      </c>
      <c r="BK88" s="532">
        <v>180.82</v>
      </c>
      <c r="BL88" s="268"/>
    </row>
    <row r="89" spans="1:64" ht="23.25">
      <c r="A89" s="267">
        <v>81</v>
      </c>
      <c r="B89" s="1437">
        <f t="shared" si="2"/>
        <v>109.96</v>
      </c>
      <c r="C89" s="1438">
        <f t="shared" si="3"/>
        <v>153.94</v>
      </c>
      <c r="D89" s="262"/>
      <c r="E89" s="1418">
        <v>81</v>
      </c>
      <c r="F89" s="1414">
        <v>101.63</v>
      </c>
      <c r="G89" s="1412">
        <v>142.28</v>
      </c>
      <c r="H89" s="1404"/>
      <c r="I89" s="1418">
        <v>81</v>
      </c>
      <c r="J89" s="1414">
        <v>103.71</v>
      </c>
      <c r="K89" s="1412">
        <v>145.19999999999999</v>
      </c>
      <c r="L89" s="262"/>
      <c r="M89" s="533">
        <v>81</v>
      </c>
      <c r="N89" s="570">
        <v>105.79</v>
      </c>
      <c r="O89" s="570">
        <v>148.11000000000001</v>
      </c>
      <c r="P89" s="268"/>
      <c r="Q89" s="533">
        <v>81</v>
      </c>
      <c r="R89" s="570">
        <v>107.87</v>
      </c>
      <c r="S89" s="570">
        <v>151.02000000000001</v>
      </c>
      <c r="T89" s="268"/>
      <c r="U89" s="533">
        <v>81</v>
      </c>
      <c r="V89" s="570">
        <v>109.96</v>
      </c>
      <c r="W89" s="570">
        <v>153.94</v>
      </c>
      <c r="X89" s="268"/>
      <c r="Y89" s="533">
        <v>81</v>
      </c>
      <c r="Z89" s="529">
        <v>112.04</v>
      </c>
      <c r="AA89" s="527">
        <v>156.85</v>
      </c>
      <c r="AB89" s="268"/>
      <c r="AC89" s="533">
        <v>81</v>
      </c>
      <c r="AD89" s="529">
        <v>114.12</v>
      </c>
      <c r="AE89" s="527">
        <v>159.77000000000001</v>
      </c>
      <c r="AF89" s="268"/>
      <c r="AG89" s="533">
        <v>81</v>
      </c>
      <c r="AH89" s="529">
        <v>116.2</v>
      </c>
      <c r="AI89" s="527">
        <v>162.68</v>
      </c>
      <c r="AJ89" s="268"/>
      <c r="AK89" s="533">
        <v>81</v>
      </c>
      <c r="AL89" s="529">
        <v>118.28</v>
      </c>
      <c r="AM89" s="527">
        <v>165.6</v>
      </c>
      <c r="AN89" s="268"/>
      <c r="AO89" s="533">
        <v>81</v>
      </c>
      <c r="AP89" s="529">
        <v>120.36</v>
      </c>
      <c r="AQ89" s="527">
        <v>168.51</v>
      </c>
      <c r="AR89" s="268"/>
      <c r="AS89" s="533">
        <v>81</v>
      </c>
      <c r="AT89" s="529">
        <v>122.45</v>
      </c>
      <c r="AU89" s="527">
        <v>171.42</v>
      </c>
      <c r="AV89" s="268"/>
      <c r="AW89" s="533">
        <v>81</v>
      </c>
      <c r="AX89" s="529">
        <v>124.53</v>
      </c>
      <c r="AY89" s="527">
        <v>174.34</v>
      </c>
      <c r="AZ89" s="268"/>
      <c r="BA89" s="533">
        <v>81</v>
      </c>
      <c r="BB89" s="529">
        <v>126.25</v>
      </c>
      <c r="BC89" s="527">
        <v>177.25</v>
      </c>
      <c r="BD89" s="268"/>
      <c r="BE89" s="533">
        <v>81</v>
      </c>
      <c r="BF89" s="529">
        <v>128.69</v>
      </c>
      <c r="BG89" s="527">
        <v>180.17</v>
      </c>
      <c r="BH89" s="268"/>
      <c r="BI89" s="533">
        <v>81</v>
      </c>
      <c r="BJ89" s="529">
        <v>130.77000000000001</v>
      </c>
      <c r="BK89" s="527">
        <v>183.08</v>
      </c>
      <c r="BL89" s="268"/>
    </row>
    <row r="90" spans="1:64" ht="23.25">
      <c r="A90" s="269">
        <v>82</v>
      </c>
      <c r="B90" s="1437">
        <f t="shared" si="2"/>
        <v>111.29</v>
      </c>
      <c r="C90" s="1438">
        <f t="shared" si="3"/>
        <v>155.80000000000001</v>
      </c>
      <c r="D90" s="262"/>
      <c r="E90" s="1420">
        <v>82</v>
      </c>
      <c r="F90" s="1421">
        <v>102.86</v>
      </c>
      <c r="G90" s="1414">
        <v>144</v>
      </c>
      <c r="H90" s="1404"/>
      <c r="I90" s="1420">
        <v>82</v>
      </c>
      <c r="J90" s="1421">
        <v>104.96</v>
      </c>
      <c r="K90" s="1414">
        <v>146.94999999999999</v>
      </c>
      <c r="L90" s="262"/>
      <c r="M90" s="535">
        <v>82</v>
      </c>
      <c r="N90" s="569">
        <v>107.07</v>
      </c>
      <c r="O90" s="569">
        <v>149.9</v>
      </c>
      <c r="P90" s="268"/>
      <c r="Q90" s="535">
        <v>82</v>
      </c>
      <c r="R90" s="569">
        <v>109.18</v>
      </c>
      <c r="S90" s="569">
        <v>152.85</v>
      </c>
      <c r="T90" s="268"/>
      <c r="U90" s="535">
        <v>82</v>
      </c>
      <c r="V90" s="569">
        <v>111.29</v>
      </c>
      <c r="W90" s="569">
        <v>155.80000000000001</v>
      </c>
      <c r="X90" s="268"/>
      <c r="Y90" s="535">
        <v>82</v>
      </c>
      <c r="Z90" s="536">
        <v>113.39</v>
      </c>
      <c r="AA90" s="529">
        <v>158.75</v>
      </c>
      <c r="AB90" s="268"/>
      <c r="AC90" s="535">
        <v>82</v>
      </c>
      <c r="AD90" s="536">
        <v>115.5</v>
      </c>
      <c r="AE90" s="529">
        <v>161.69999999999999</v>
      </c>
      <c r="AF90" s="268"/>
      <c r="AG90" s="535">
        <v>82</v>
      </c>
      <c r="AH90" s="536">
        <v>117.61</v>
      </c>
      <c r="AI90" s="529">
        <v>164.65</v>
      </c>
      <c r="AJ90" s="268"/>
      <c r="AK90" s="535">
        <v>82</v>
      </c>
      <c r="AL90" s="536">
        <v>119.72</v>
      </c>
      <c r="AM90" s="529">
        <v>167.6</v>
      </c>
      <c r="AN90" s="268"/>
      <c r="AO90" s="535">
        <v>82</v>
      </c>
      <c r="AP90" s="536">
        <v>121.82</v>
      </c>
      <c r="AQ90" s="529">
        <v>170.55</v>
      </c>
      <c r="AR90" s="268"/>
      <c r="AS90" s="535">
        <v>82</v>
      </c>
      <c r="AT90" s="536">
        <v>123.93</v>
      </c>
      <c r="AU90" s="529">
        <v>173.5</v>
      </c>
      <c r="AV90" s="268"/>
      <c r="AW90" s="535">
        <v>82</v>
      </c>
      <c r="AX90" s="536">
        <v>126.04</v>
      </c>
      <c r="AY90" s="529">
        <v>176.45</v>
      </c>
      <c r="AZ90" s="268"/>
      <c r="BA90" s="535">
        <v>82</v>
      </c>
      <c r="BB90" s="536">
        <v>128.15</v>
      </c>
      <c r="BC90" s="529">
        <v>179.4</v>
      </c>
      <c r="BD90" s="268"/>
      <c r="BE90" s="535">
        <v>82</v>
      </c>
      <c r="BF90" s="536">
        <v>130.25</v>
      </c>
      <c r="BG90" s="529">
        <v>182.35</v>
      </c>
      <c r="BH90" s="268"/>
      <c r="BI90" s="535">
        <v>82</v>
      </c>
      <c r="BJ90" s="536">
        <v>132.36000000000001</v>
      </c>
      <c r="BK90" s="529">
        <v>185.3</v>
      </c>
      <c r="BL90" s="268"/>
    </row>
    <row r="91" spans="1:64" ht="23.25">
      <c r="A91" s="269">
        <v>83</v>
      </c>
      <c r="B91" s="1437">
        <f t="shared" si="2"/>
        <v>112.65</v>
      </c>
      <c r="C91" s="1438">
        <f t="shared" si="3"/>
        <v>157.71</v>
      </c>
      <c r="E91" s="1420">
        <v>83</v>
      </c>
      <c r="F91" s="1421">
        <v>104.12</v>
      </c>
      <c r="G91" s="1414">
        <v>145.76</v>
      </c>
      <c r="H91" s="1404"/>
      <c r="I91" s="1420">
        <v>83</v>
      </c>
      <c r="J91" s="1421">
        <v>106.25</v>
      </c>
      <c r="K91" s="1414">
        <v>148.75</v>
      </c>
      <c r="M91" s="535">
        <v>83</v>
      </c>
      <c r="N91" s="569">
        <v>108.38</v>
      </c>
      <c r="O91" s="569">
        <v>151.74</v>
      </c>
      <c r="P91" s="268"/>
      <c r="Q91" s="535">
        <v>83</v>
      </c>
      <c r="R91" s="569">
        <v>110.52</v>
      </c>
      <c r="S91" s="569">
        <v>154.72</v>
      </c>
      <c r="T91" s="268"/>
      <c r="U91" s="535">
        <v>83</v>
      </c>
      <c r="V91" s="569">
        <v>112.65</v>
      </c>
      <c r="W91" s="569">
        <v>157.71</v>
      </c>
      <c r="X91" s="268"/>
      <c r="Y91" s="535">
        <v>83</v>
      </c>
      <c r="Z91" s="536">
        <v>114.78</v>
      </c>
      <c r="AA91" s="529">
        <v>160.69999999999999</v>
      </c>
      <c r="AB91" s="268"/>
      <c r="AC91" s="535">
        <v>83</v>
      </c>
      <c r="AD91" s="536">
        <v>116.92</v>
      </c>
      <c r="AE91" s="529">
        <v>163.68</v>
      </c>
      <c r="AF91" s="268"/>
      <c r="AG91" s="535">
        <v>83</v>
      </c>
      <c r="AH91" s="536">
        <v>119.05</v>
      </c>
      <c r="AI91" s="529">
        <v>166.67</v>
      </c>
      <c r="AJ91" s="268"/>
      <c r="AK91" s="535">
        <v>83</v>
      </c>
      <c r="AL91" s="536">
        <v>121.18</v>
      </c>
      <c r="AM91" s="529">
        <v>169.66</v>
      </c>
      <c r="AN91" s="268"/>
      <c r="AO91" s="535">
        <v>83</v>
      </c>
      <c r="AP91" s="536">
        <v>123.32</v>
      </c>
      <c r="AQ91" s="529">
        <v>172.64</v>
      </c>
      <c r="AR91" s="268"/>
      <c r="AS91" s="535">
        <v>83</v>
      </c>
      <c r="AT91" s="536">
        <v>125.45</v>
      </c>
      <c r="AU91" s="529">
        <v>175.63</v>
      </c>
      <c r="AV91" s="268"/>
      <c r="AW91" s="535">
        <v>83</v>
      </c>
      <c r="AX91" s="536">
        <v>127.58</v>
      </c>
      <c r="AY91" s="529">
        <v>178.61</v>
      </c>
      <c r="AZ91" s="268"/>
      <c r="BA91" s="535">
        <v>83</v>
      </c>
      <c r="BB91" s="536">
        <v>129.72</v>
      </c>
      <c r="BC91" s="529">
        <v>181.6</v>
      </c>
      <c r="BD91" s="268"/>
      <c r="BE91" s="535">
        <v>83</v>
      </c>
      <c r="BF91" s="536">
        <v>131.85</v>
      </c>
      <c r="BG91" s="529">
        <v>184.59</v>
      </c>
      <c r="BH91" s="268"/>
      <c r="BI91" s="535">
        <v>83</v>
      </c>
      <c r="BJ91" s="536">
        <v>133.97999999999999</v>
      </c>
      <c r="BK91" s="529">
        <v>187.57</v>
      </c>
      <c r="BL91" s="268"/>
    </row>
    <row r="92" spans="1:64" ht="23.25">
      <c r="A92" s="269">
        <v>84</v>
      </c>
      <c r="B92" s="1437">
        <f t="shared" si="2"/>
        <v>113.98</v>
      </c>
      <c r="C92" s="1438">
        <f t="shared" si="3"/>
        <v>159.58000000000001</v>
      </c>
      <c r="E92" s="1420">
        <v>84</v>
      </c>
      <c r="F92" s="1421">
        <v>105.35</v>
      </c>
      <c r="G92" s="1414">
        <v>147.49</v>
      </c>
      <c r="H92" s="1404"/>
      <c r="I92" s="1420">
        <v>84</v>
      </c>
      <c r="J92" s="1421">
        <v>107.51</v>
      </c>
      <c r="K92" s="1414">
        <v>150.51</v>
      </c>
      <c r="M92" s="535">
        <v>84</v>
      </c>
      <c r="N92" s="569">
        <v>109.67</v>
      </c>
      <c r="O92" s="569">
        <v>153.53</v>
      </c>
      <c r="P92" s="268"/>
      <c r="Q92" s="535">
        <v>84</v>
      </c>
      <c r="R92" s="569">
        <v>111.83</v>
      </c>
      <c r="S92" s="569">
        <v>156.56</v>
      </c>
      <c r="T92" s="268"/>
      <c r="U92" s="535">
        <v>84</v>
      </c>
      <c r="V92" s="569">
        <v>113.98</v>
      </c>
      <c r="W92" s="569">
        <v>159.58000000000001</v>
      </c>
      <c r="X92" s="268"/>
      <c r="Y92" s="535">
        <v>84</v>
      </c>
      <c r="Z92" s="536">
        <v>116.14</v>
      </c>
      <c r="AA92" s="529">
        <v>162.6</v>
      </c>
      <c r="AB92" s="268"/>
      <c r="AC92" s="535">
        <v>84</v>
      </c>
      <c r="AD92" s="536">
        <v>118.3</v>
      </c>
      <c r="AE92" s="529">
        <v>165.62</v>
      </c>
      <c r="AF92" s="268"/>
      <c r="AG92" s="535">
        <v>84</v>
      </c>
      <c r="AH92" s="536">
        <v>120.46</v>
      </c>
      <c r="AI92" s="529">
        <v>168.65</v>
      </c>
      <c r="AJ92" s="268"/>
      <c r="AK92" s="535">
        <v>84</v>
      </c>
      <c r="AL92" s="536">
        <v>122.62</v>
      </c>
      <c r="AM92" s="529">
        <v>171.67</v>
      </c>
      <c r="AN92" s="268"/>
      <c r="AO92" s="535">
        <v>84</v>
      </c>
      <c r="AP92" s="536">
        <v>124.78</v>
      </c>
      <c r="AQ92" s="529">
        <v>174.69</v>
      </c>
      <c r="AR92" s="268"/>
      <c r="AS92" s="535">
        <v>84</v>
      </c>
      <c r="AT92" s="536">
        <v>126.94</v>
      </c>
      <c r="AU92" s="529">
        <v>177.71</v>
      </c>
      <c r="AV92" s="268"/>
      <c r="AW92" s="535">
        <v>84</v>
      </c>
      <c r="AX92" s="536">
        <v>129.1</v>
      </c>
      <c r="AY92" s="529">
        <v>180.73</v>
      </c>
      <c r="AZ92" s="268"/>
      <c r="BA92" s="535">
        <v>84</v>
      </c>
      <c r="BB92" s="536">
        <v>131.26</v>
      </c>
      <c r="BC92" s="529">
        <v>183.76</v>
      </c>
      <c r="BD92" s="268"/>
      <c r="BE92" s="535">
        <v>84</v>
      </c>
      <c r="BF92" s="536">
        <v>133.41</v>
      </c>
      <c r="BG92" s="529">
        <v>186.78</v>
      </c>
      <c r="BH92" s="268"/>
      <c r="BI92" s="535">
        <v>84</v>
      </c>
      <c r="BJ92" s="536">
        <v>135.57</v>
      </c>
      <c r="BK92" s="529">
        <v>189.8</v>
      </c>
      <c r="BL92" s="268"/>
    </row>
    <row r="93" spans="1:64" ht="23.25">
      <c r="A93" s="269">
        <v>85</v>
      </c>
      <c r="B93" s="1437">
        <f t="shared" si="2"/>
        <v>115.35</v>
      </c>
      <c r="C93" s="1438">
        <f t="shared" si="3"/>
        <v>161.5</v>
      </c>
      <c r="E93" s="1420">
        <v>85</v>
      </c>
      <c r="F93" s="1421">
        <v>106.62</v>
      </c>
      <c r="G93" s="1414">
        <v>149.26</v>
      </c>
      <c r="H93" s="1404"/>
      <c r="I93" s="1420">
        <v>85</v>
      </c>
      <c r="J93" s="1421">
        <v>108.8</v>
      </c>
      <c r="K93" s="1414">
        <v>152.32</v>
      </c>
      <c r="M93" s="535">
        <v>85</v>
      </c>
      <c r="N93" s="569">
        <v>110.99</v>
      </c>
      <c r="O93" s="569">
        <v>155.38</v>
      </c>
      <c r="P93" s="268"/>
      <c r="Q93" s="535">
        <v>85</v>
      </c>
      <c r="R93" s="569">
        <v>113.17</v>
      </c>
      <c r="S93" s="569">
        <v>158.44</v>
      </c>
      <c r="T93" s="268"/>
      <c r="U93" s="535">
        <v>85</v>
      </c>
      <c r="V93" s="569">
        <v>115.35</v>
      </c>
      <c r="W93" s="569">
        <v>161.5</v>
      </c>
      <c r="X93" s="268"/>
      <c r="Y93" s="535">
        <v>85</v>
      </c>
      <c r="Z93" s="536">
        <v>117.54</v>
      </c>
      <c r="AA93" s="529">
        <v>164.55</v>
      </c>
      <c r="AB93" s="268"/>
      <c r="AC93" s="535">
        <v>85</v>
      </c>
      <c r="AD93" s="536">
        <v>119.72</v>
      </c>
      <c r="AE93" s="529">
        <v>167.61</v>
      </c>
      <c r="AF93" s="268"/>
      <c r="AG93" s="535">
        <v>85</v>
      </c>
      <c r="AH93" s="536">
        <v>121.91</v>
      </c>
      <c r="AI93" s="529">
        <v>170.67</v>
      </c>
      <c r="AJ93" s="268"/>
      <c r="AK93" s="535">
        <v>85</v>
      </c>
      <c r="AL93" s="536">
        <v>124.09</v>
      </c>
      <c r="AM93" s="529">
        <v>173.73</v>
      </c>
      <c r="AN93" s="268"/>
      <c r="AO93" s="535">
        <v>85</v>
      </c>
      <c r="AP93" s="536">
        <v>126.28</v>
      </c>
      <c r="AQ93" s="529">
        <v>176.79</v>
      </c>
      <c r="AR93" s="268"/>
      <c r="AS93" s="535">
        <v>85</v>
      </c>
      <c r="AT93" s="536">
        <v>128.46</v>
      </c>
      <c r="AU93" s="529">
        <v>179.85</v>
      </c>
      <c r="AV93" s="268"/>
      <c r="AW93" s="535">
        <v>85</v>
      </c>
      <c r="AX93" s="536">
        <v>130.65</v>
      </c>
      <c r="AY93" s="529">
        <v>182.9</v>
      </c>
      <c r="AZ93" s="268"/>
      <c r="BA93" s="535">
        <v>85</v>
      </c>
      <c r="BB93" s="536">
        <v>132.83000000000001</v>
      </c>
      <c r="BC93" s="529">
        <v>185.96</v>
      </c>
      <c r="BD93" s="268"/>
      <c r="BE93" s="535">
        <v>85</v>
      </c>
      <c r="BF93" s="536">
        <v>135.02000000000001</v>
      </c>
      <c r="BG93" s="529">
        <v>189.02</v>
      </c>
      <c r="BH93" s="268"/>
      <c r="BI93" s="535">
        <v>85</v>
      </c>
      <c r="BJ93" s="536">
        <v>137.19999999999999</v>
      </c>
      <c r="BK93" s="529">
        <v>192.08</v>
      </c>
      <c r="BL93" s="268"/>
    </row>
    <row r="94" spans="1:64" ht="23.25">
      <c r="A94" s="269">
        <v>86</v>
      </c>
      <c r="B94" s="1437">
        <f t="shared" si="2"/>
        <v>116.69</v>
      </c>
      <c r="C94" s="1438">
        <f t="shared" si="3"/>
        <v>163.37</v>
      </c>
      <c r="D94" s="279"/>
      <c r="E94" s="1420">
        <v>86</v>
      </c>
      <c r="F94" s="1421">
        <v>107.85</v>
      </c>
      <c r="G94" s="1414">
        <v>150.99</v>
      </c>
      <c r="H94" s="1404"/>
      <c r="I94" s="1420">
        <v>86</v>
      </c>
      <c r="J94" s="1421">
        <v>110.06</v>
      </c>
      <c r="K94" s="1414">
        <v>154.09</v>
      </c>
      <c r="L94" s="279"/>
      <c r="M94" s="535">
        <v>86</v>
      </c>
      <c r="N94" s="569">
        <v>112.27</v>
      </c>
      <c r="O94" s="569">
        <v>157.18</v>
      </c>
      <c r="P94" s="253"/>
      <c r="Q94" s="535">
        <v>86</v>
      </c>
      <c r="R94" s="569">
        <v>114.48</v>
      </c>
      <c r="S94" s="569">
        <v>160.28</v>
      </c>
      <c r="T94" s="253"/>
      <c r="U94" s="535">
        <v>86</v>
      </c>
      <c r="V94" s="569">
        <v>116.69</v>
      </c>
      <c r="W94" s="569">
        <v>163.37</v>
      </c>
      <c r="X94" s="253"/>
      <c r="Y94" s="535">
        <v>86</v>
      </c>
      <c r="Z94" s="536">
        <v>118.9</v>
      </c>
      <c r="AA94" s="529">
        <v>166.47</v>
      </c>
      <c r="AB94" s="253"/>
      <c r="AC94" s="535">
        <v>86</v>
      </c>
      <c r="AD94" s="536">
        <v>121.11</v>
      </c>
      <c r="AE94" s="529">
        <v>169.56</v>
      </c>
      <c r="AF94" s="253"/>
      <c r="AG94" s="535">
        <v>86</v>
      </c>
      <c r="AH94" s="536">
        <v>123.32</v>
      </c>
      <c r="AI94" s="529">
        <v>172.65</v>
      </c>
      <c r="AJ94" s="253"/>
      <c r="AK94" s="535">
        <v>86</v>
      </c>
      <c r="AL94" s="536">
        <v>125.53</v>
      </c>
      <c r="AM94" s="529">
        <v>175.75</v>
      </c>
      <c r="AN94" s="253"/>
      <c r="AO94" s="535">
        <v>86</v>
      </c>
      <c r="AP94" s="536">
        <v>127.74</v>
      </c>
      <c r="AQ94" s="529">
        <v>178.84</v>
      </c>
      <c r="AR94" s="253"/>
      <c r="AS94" s="535">
        <v>86</v>
      </c>
      <c r="AT94" s="536">
        <v>129.94999999999999</v>
      </c>
      <c r="AU94" s="529">
        <v>181.94</v>
      </c>
      <c r="AV94" s="253"/>
      <c r="AW94" s="535">
        <v>86</v>
      </c>
      <c r="AX94" s="536">
        <v>132.16999999999999</v>
      </c>
      <c r="AY94" s="529">
        <v>185.03</v>
      </c>
      <c r="AZ94" s="253"/>
      <c r="BA94" s="535">
        <v>86</v>
      </c>
      <c r="BB94" s="536">
        <v>134.38</v>
      </c>
      <c r="BC94" s="529">
        <v>188.13</v>
      </c>
      <c r="BD94" s="253"/>
      <c r="BE94" s="535">
        <v>86</v>
      </c>
      <c r="BF94" s="536">
        <v>136.59</v>
      </c>
      <c r="BG94" s="529">
        <v>191.22</v>
      </c>
      <c r="BH94" s="253"/>
      <c r="BI94" s="535">
        <v>86</v>
      </c>
      <c r="BJ94" s="536">
        <v>138.80000000000001</v>
      </c>
      <c r="BK94" s="529">
        <v>194.31</v>
      </c>
      <c r="BL94" s="253"/>
    </row>
    <row r="95" spans="1:64" ht="23.25">
      <c r="A95" s="269">
        <v>87</v>
      </c>
      <c r="B95" s="1437">
        <f t="shared" si="2"/>
        <v>118.03</v>
      </c>
      <c r="C95" s="1438">
        <f t="shared" si="3"/>
        <v>165.25</v>
      </c>
      <c r="D95" s="279"/>
      <c r="E95" s="1420">
        <v>87</v>
      </c>
      <c r="F95" s="1421">
        <v>109.09</v>
      </c>
      <c r="G95" s="1414">
        <v>152.72999999999999</v>
      </c>
      <c r="H95" s="1404"/>
      <c r="I95" s="1420">
        <v>87</v>
      </c>
      <c r="J95" s="1421">
        <v>111.33</v>
      </c>
      <c r="K95" s="1414">
        <v>155.86000000000001</v>
      </c>
      <c r="L95" s="279"/>
      <c r="M95" s="535">
        <v>87</v>
      </c>
      <c r="N95" s="569">
        <v>113.56</v>
      </c>
      <c r="O95" s="569">
        <v>158.99</v>
      </c>
      <c r="P95" s="253"/>
      <c r="Q95" s="535">
        <v>87</v>
      </c>
      <c r="R95" s="569">
        <v>115.8</v>
      </c>
      <c r="S95" s="569">
        <v>162.12</v>
      </c>
      <c r="T95" s="253"/>
      <c r="U95" s="535">
        <v>87</v>
      </c>
      <c r="V95" s="569">
        <v>118.03</v>
      </c>
      <c r="W95" s="569">
        <v>165.25</v>
      </c>
      <c r="X95" s="253"/>
      <c r="Y95" s="535">
        <v>87</v>
      </c>
      <c r="Z95" s="536">
        <v>120.27</v>
      </c>
      <c r="AA95" s="529">
        <v>168.38</v>
      </c>
      <c r="AB95" s="253"/>
      <c r="AC95" s="535">
        <v>87</v>
      </c>
      <c r="AD95" s="536">
        <v>122.51</v>
      </c>
      <c r="AE95" s="529">
        <v>171.51</v>
      </c>
      <c r="AF95" s="253"/>
      <c r="AG95" s="535">
        <v>87</v>
      </c>
      <c r="AH95" s="536">
        <v>124.74</v>
      </c>
      <c r="AI95" s="529">
        <v>174.64</v>
      </c>
      <c r="AJ95" s="253"/>
      <c r="AK95" s="535">
        <v>87</v>
      </c>
      <c r="AL95" s="536">
        <v>126.98</v>
      </c>
      <c r="AM95" s="529">
        <v>177.77</v>
      </c>
      <c r="AN95" s="253"/>
      <c r="AO95" s="535">
        <v>87</v>
      </c>
      <c r="AP95" s="536">
        <v>129.21</v>
      </c>
      <c r="AQ95" s="529">
        <v>180.9</v>
      </c>
      <c r="AR95" s="253"/>
      <c r="AS95" s="535">
        <v>87</v>
      </c>
      <c r="AT95" s="536">
        <v>131.44999999999999</v>
      </c>
      <c r="AU95" s="529">
        <v>184.03</v>
      </c>
      <c r="AV95" s="253"/>
      <c r="AW95" s="535">
        <v>87</v>
      </c>
      <c r="AX95" s="536">
        <v>133.69</v>
      </c>
      <c r="AY95" s="529">
        <v>187.16</v>
      </c>
      <c r="AZ95" s="253"/>
      <c r="BA95" s="535">
        <v>87</v>
      </c>
      <c r="BB95" s="536">
        <v>135.91999999999999</v>
      </c>
      <c r="BC95" s="529">
        <v>190.29</v>
      </c>
      <c r="BD95" s="253"/>
      <c r="BE95" s="535">
        <v>87</v>
      </c>
      <c r="BF95" s="536">
        <v>138.16</v>
      </c>
      <c r="BG95" s="529">
        <v>193.42</v>
      </c>
      <c r="BH95" s="253"/>
      <c r="BI95" s="535">
        <v>87</v>
      </c>
      <c r="BJ95" s="536">
        <v>140.38999999999999</v>
      </c>
      <c r="BK95" s="529">
        <v>196.55</v>
      </c>
      <c r="BL95" s="253"/>
    </row>
    <row r="96" spans="1:64" ht="23.25">
      <c r="A96" s="269">
        <v>88</v>
      </c>
      <c r="B96" s="1437">
        <f t="shared" si="2"/>
        <v>119.38</v>
      </c>
      <c r="C96" s="1438">
        <f t="shared" si="3"/>
        <v>167.13</v>
      </c>
      <c r="D96" s="279"/>
      <c r="E96" s="1420">
        <v>88</v>
      </c>
      <c r="F96" s="1421">
        <v>110.33</v>
      </c>
      <c r="G96" s="1414">
        <v>154.46</v>
      </c>
      <c r="H96" s="1404"/>
      <c r="I96" s="1420">
        <v>88</v>
      </c>
      <c r="J96" s="1421">
        <v>112.59</v>
      </c>
      <c r="K96" s="1414">
        <v>157.63</v>
      </c>
      <c r="L96" s="279"/>
      <c r="M96" s="535">
        <v>88</v>
      </c>
      <c r="N96" s="569">
        <v>114.85</v>
      </c>
      <c r="O96" s="569">
        <v>160.80000000000001</v>
      </c>
      <c r="P96" s="253"/>
      <c r="Q96" s="535">
        <v>88</v>
      </c>
      <c r="R96" s="569">
        <v>117.12</v>
      </c>
      <c r="S96" s="569">
        <v>163.96</v>
      </c>
      <c r="T96" s="253"/>
      <c r="U96" s="535">
        <v>88</v>
      </c>
      <c r="V96" s="569">
        <v>119.38</v>
      </c>
      <c r="W96" s="569">
        <v>167.13</v>
      </c>
      <c r="X96" s="253"/>
      <c r="Y96" s="535">
        <v>88</v>
      </c>
      <c r="Z96" s="536">
        <v>121.64</v>
      </c>
      <c r="AA96" s="529">
        <v>170.3</v>
      </c>
      <c r="AB96" s="253"/>
      <c r="AC96" s="535">
        <v>88</v>
      </c>
      <c r="AD96" s="536">
        <v>123.9</v>
      </c>
      <c r="AE96" s="529">
        <v>173.46</v>
      </c>
      <c r="AF96" s="253"/>
      <c r="AG96" s="535">
        <v>88</v>
      </c>
      <c r="AH96" s="536">
        <v>126.16</v>
      </c>
      <c r="AI96" s="529">
        <v>176.63</v>
      </c>
      <c r="AJ96" s="253"/>
      <c r="AK96" s="535">
        <v>88</v>
      </c>
      <c r="AL96" s="536">
        <v>128.41999999999999</v>
      </c>
      <c r="AM96" s="529">
        <v>179.79</v>
      </c>
      <c r="AN96" s="253"/>
      <c r="AO96" s="535">
        <v>88</v>
      </c>
      <c r="AP96" s="536">
        <v>130.69</v>
      </c>
      <c r="AQ96" s="529">
        <v>182.96</v>
      </c>
      <c r="AR96" s="253"/>
      <c r="AS96" s="535">
        <v>88</v>
      </c>
      <c r="AT96" s="536">
        <v>132.94999999999999</v>
      </c>
      <c r="AU96" s="529">
        <v>186.13</v>
      </c>
      <c r="AV96" s="253"/>
      <c r="AW96" s="535">
        <v>88</v>
      </c>
      <c r="AX96" s="536">
        <v>135.21</v>
      </c>
      <c r="AY96" s="529">
        <v>189.29</v>
      </c>
      <c r="AZ96" s="253"/>
      <c r="BA96" s="535">
        <v>88</v>
      </c>
      <c r="BB96" s="536">
        <v>137.47</v>
      </c>
      <c r="BC96" s="529">
        <v>192.46</v>
      </c>
      <c r="BD96" s="253"/>
      <c r="BE96" s="535">
        <v>88</v>
      </c>
      <c r="BF96" s="536">
        <v>139.72999999999999</v>
      </c>
      <c r="BG96" s="529">
        <v>195.63</v>
      </c>
      <c r="BH96" s="253"/>
      <c r="BI96" s="535">
        <v>88</v>
      </c>
      <c r="BJ96" s="536">
        <v>141.99</v>
      </c>
      <c r="BK96" s="529">
        <v>198.79</v>
      </c>
      <c r="BL96" s="253"/>
    </row>
    <row r="97" spans="1:64" ht="23.25">
      <c r="A97" s="269">
        <v>89</v>
      </c>
      <c r="B97" s="1437">
        <f t="shared" si="2"/>
        <v>120.72</v>
      </c>
      <c r="C97" s="1438">
        <f t="shared" si="3"/>
        <v>169.01</v>
      </c>
      <c r="D97" s="279"/>
      <c r="E97" s="1420">
        <v>89</v>
      </c>
      <c r="F97" s="1421">
        <v>111.57</v>
      </c>
      <c r="G97" s="1414">
        <v>156.19999999999999</v>
      </c>
      <c r="H97" s="1404"/>
      <c r="I97" s="1420">
        <v>89</v>
      </c>
      <c r="J97" s="1421">
        <v>113.86</v>
      </c>
      <c r="K97" s="1414">
        <v>159.41</v>
      </c>
      <c r="L97" s="279"/>
      <c r="M97" s="535">
        <v>89</v>
      </c>
      <c r="N97" s="569">
        <v>116.15</v>
      </c>
      <c r="O97" s="569">
        <v>162.61000000000001</v>
      </c>
      <c r="P97" s="253"/>
      <c r="Q97" s="535">
        <v>89</v>
      </c>
      <c r="R97" s="569">
        <v>118.44</v>
      </c>
      <c r="S97" s="569">
        <v>165.81</v>
      </c>
      <c r="T97" s="253"/>
      <c r="U97" s="535">
        <v>89</v>
      </c>
      <c r="V97" s="569">
        <v>120.72</v>
      </c>
      <c r="W97" s="569">
        <v>169.01</v>
      </c>
      <c r="X97" s="253"/>
      <c r="Y97" s="535">
        <v>89</v>
      </c>
      <c r="Z97" s="536">
        <v>123.01</v>
      </c>
      <c r="AA97" s="529">
        <v>172.21</v>
      </c>
      <c r="AB97" s="253"/>
      <c r="AC97" s="535">
        <v>89</v>
      </c>
      <c r="AD97" s="536">
        <v>125.3</v>
      </c>
      <c r="AE97" s="529">
        <v>175.42</v>
      </c>
      <c r="AF97" s="253"/>
      <c r="AG97" s="535">
        <v>89</v>
      </c>
      <c r="AH97" s="536">
        <v>127.59</v>
      </c>
      <c r="AI97" s="529">
        <v>178.62</v>
      </c>
      <c r="AJ97" s="253"/>
      <c r="AK97" s="535">
        <v>89</v>
      </c>
      <c r="AL97" s="536">
        <v>129.87</v>
      </c>
      <c r="AM97" s="529">
        <v>181.82</v>
      </c>
      <c r="AN97" s="253"/>
      <c r="AO97" s="535">
        <v>89</v>
      </c>
      <c r="AP97" s="536">
        <v>132.16</v>
      </c>
      <c r="AQ97" s="529">
        <v>185.02</v>
      </c>
      <c r="AR97" s="253"/>
      <c r="AS97" s="535">
        <v>89</v>
      </c>
      <c r="AT97" s="536">
        <v>134.44999999999999</v>
      </c>
      <c r="AU97" s="529">
        <v>188.23</v>
      </c>
      <c r="AV97" s="253"/>
      <c r="AW97" s="535">
        <v>89</v>
      </c>
      <c r="AX97" s="536">
        <v>136.72999999999999</v>
      </c>
      <c r="AY97" s="529">
        <v>191.43</v>
      </c>
      <c r="AZ97" s="253"/>
      <c r="BA97" s="535">
        <v>89</v>
      </c>
      <c r="BB97" s="536">
        <v>139.02000000000001</v>
      </c>
      <c r="BC97" s="529">
        <v>194.63</v>
      </c>
      <c r="BD97" s="253"/>
      <c r="BE97" s="535">
        <v>89</v>
      </c>
      <c r="BF97" s="536">
        <v>141.31</v>
      </c>
      <c r="BG97" s="529">
        <v>197.83</v>
      </c>
      <c r="BH97" s="253"/>
      <c r="BI97" s="535">
        <v>89</v>
      </c>
      <c r="BJ97" s="536">
        <v>143.6</v>
      </c>
      <c r="BK97" s="529">
        <v>201.03</v>
      </c>
      <c r="BL97" s="253"/>
    </row>
    <row r="98" spans="1:64" ht="23.25">
      <c r="A98" s="269">
        <v>90</v>
      </c>
      <c r="B98" s="1437">
        <f t="shared" si="2"/>
        <v>122.11</v>
      </c>
      <c r="C98" s="1438">
        <f t="shared" si="3"/>
        <v>170.95</v>
      </c>
      <c r="D98" s="279"/>
      <c r="E98" s="1420">
        <v>90</v>
      </c>
      <c r="F98" s="1421">
        <v>112.86</v>
      </c>
      <c r="G98" s="1414">
        <v>158</v>
      </c>
      <c r="H98" s="1404"/>
      <c r="I98" s="1420">
        <v>90</v>
      </c>
      <c r="J98" s="1421">
        <v>115.17</v>
      </c>
      <c r="K98" s="1414">
        <v>161.24</v>
      </c>
      <c r="L98" s="279"/>
      <c r="M98" s="535">
        <v>90</v>
      </c>
      <c r="N98" s="569">
        <v>117.48</v>
      </c>
      <c r="O98" s="569">
        <v>164.48</v>
      </c>
      <c r="P98" s="253"/>
      <c r="Q98" s="535">
        <v>90</v>
      </c>
      <c r="R98" s="569">
        <v>119.8</v>
      </c>
      <c r="S98" s="569">
        <v>167.71</v>
      </c>
      <c r="T98" s="253"/>
      <c r="U98" s="535">
        <v>90</v>
      </c>
      <c r="V98" s="569">
        <v>122.11</v>
      </c>
      <c r="W98" s="569">
        <v>170.95</v>
      </c>
      <c r="X98" s="253"/>
      <c r="Y98" s="535">
        <v>90</v>
      </c>
      <c r="Z98" s="536">
        <v>124.42</v>
      </c>
      <c r="AA98" s="529">
        <v>174.19</v>
      </c>
      <c r="AB98" s="253"/>
      <c r="AC98" s="535">
        <v>90</v>
      </c>
      <c r="AD98" s="536">
        <v>126.73</v>
      </c>
      <c r="AE98" s="529">
        <v>177.43</v>
      </c>
      <c r="AF98" s="253"/>
      <c r="AG98" s="535">
        <v>90</v>
      </c>
      <c r="AH98" s="536">
        <v>129.05000000000001</v>
      </c>
      <c r="AI98" s="529">
        <v>180.67</v>
      </c>
      <c r="AJ98" s="253"/>
      <c r="AK98" s="535">
        <v>90</v>
      </c>
      <c r="AL98" s="536">
        <v>131.36000000000001</v>
      </c>
      <c r="AM98" s="529">
        <v>183.9</v>
      </c>
      <c r="AN98" s="253"/>
      <c r="AO98" s="535">
        <v>90</v>
      </c>
      <c r="AP98" s="536">
        <v>133.66999999999999</v>
      </c>
      <c r="AQ98" s="529">
        <v>187.14</v>
      </c>
      <c r="AR98" s="253"/>
      <c r="AS98" s="535">
        <v>90</v>
      </c>
      <c r="AT98" s="536">
        <v>135.99</v>
      </c>
      <c r="AU98" s="529">
        <v>190.38</v>
      </c>
      <c r="AV98" s="253"/>
      <c r="AW98" s="535">
        <v>90</v>
      </c>
      <c r="AX98" s="536">
        <v>138.30000000000001</v>
      </c>
      <c r="AY98" s="529">
        <v>193.62</v>
      </c>
      <c r="AZ98" s="253"/>
      <c r="BA98" s="535">
        <v>90</v>
      </c>
      <c r="BB98" s="536">
        <v>140.61000000000001</v>
      </c>
      <c r="BC98" s="529">
        <v>196.86</v>
      </c>
      <c r="BD98" s="253"/>
      <c r="BE98" s="535">
        <v>90</v>
      </c>
      <c r="BF98" s="536">
        <v>142.93</v>
      </c>
      <c r="BG98" s="529">
        <v>200.1</v>
      </c>
      <c r="BH98" s="253"/>
      <c r="BI98" s="535">
        <v>90</v>
      </c>
      <c r="BJ98" s="536">
        <v>145.24</v>
      </c>
      <c r="BK98" s="529">
        <v>203.33</v>
      </c>
      <c r="BL98" s="253"/>
    </row>
    <row r="99" spans="1:64" ht="23.25">
      <c r="A99" s="269">
        <v>91</v>
      </c>
      <c r="B99" s="1437">
        <f t="shared" si="2"/>
        <v>123.46</v>
      </c>
      <c r="C99" s="1438">
        <f t="shared" si="3"/>
        <v>172.84</v>
      </c>
      <c r="D99" s="279"/>
      <c r="E99" s="1420">
        <v>91</v>
      </c>
      <c r="F99" s="1421">
        <v>114.1</v>
      </c>
      <c r="G99" s="1414">
        <v>159.75</v>
      </c>
      <c r="H99" s="1404"/>
      <c r="I99" s="1420">
        <v>91</v>
      </c>
      <c r="J99" s="1421">
        <v>116.44</v>
      </c>
      <c r="K99" s="1414">
        <v>163.02000000000001</v>
      </c>
      <c r="L99" s="279"/>
      <c r="M99" s="535">
        <v>91</v>
      </c>
      <c r="N99" s="569">
        <v>118.78</v>
      </c>
      <c r="O99" s="569">
        <v>166.29</v>
      </c>
      <c r="P99" s="253"/>
      <c r="Q99" s="535">
        <v>91</v>
      </c>
      <c r="R99" s="569">
        <v>121.12</v>
      </c>
      <c r="S99" s="569">
        <v>169.57</v>
      </c>
      <c r="T99" s="253"/>
      <c r="U99" s="535">
        <v>91</v>
      </c>
      <c r="V99" s="569">
        <v>123.46</v>
      </c>
      <c r="W99" s="569">
        <v>172.84</v>
      </c>
      <c r="X99" s="253"/>
      <c r="Y99" s="535">
        <v>91</v>
      </c>
      <c r="Z99" s="536">
        <v>125.8</v>
      </c>
      <c r="AA99" s="529">
        <v>176.12</v>
      </c>
      <c r="AB99" s="253"/>
      <c r="AC99" s="535">
        <v>91</v>
      </c>
      <c r="AD99" s="536">
        <v>128.13999999999999</v>
      </c>
      <c r="AE99" s="529">
        <v>179.39</v>
      </c>
      <c r="AF99" s="253"/>
      <c r="AG99" s="535">
        <v>91</v>
      </c>
      <c r="AH99" s="536">
        <v>130.47999999999999</v>
      </c>
      <c r="AI99" s="529">
        <v>182.67</v>
      </c>
      <c r="AJ99" s="253"/>
      <c r="AK99" s="535">
        <v>91</v>
      </c>
      <c r="AL99" s="536">
        <v>132.81</v>
      </c>
      <c r="AM99" s="529">
        <v>185.94</v>
      </c>
      <c r="AN99" s="253"/>
      <c r="AO99" s="535">
        <v>91</v>
      </c>
      <c r="AP99" s="536">
        <v>135.15</v>
      </c>
      <c r="AQ99" s="529">
        <v>189.21</v>
      </c>
      <c r="AR99" s="253"/>
      <c r="AS99" s="535">
        <v>91</v>
      </c>
      <c r="AT99" s="536">
        <v>137.49</v>
      </c>
      <c r="AU99" s="529">
        <v>192.49</v>
      </c>
      <c r="AV99" s="253"/>
      <c r="AW99" s="535">
        <v>91</v>
      </c>
      <c r="AX99" s="536">
        <v>139.83000000000001</v>
      </c>
      <c r="AY99" s="529">
        <v>195.76</v>
      </c>
      <c r="AZ99" s="253"/>
      <c r="BA99" s="535">
        <v>91</v>
      </c>
      <c r="BB99" s="536">
        <v>142.16999999999999</v>
      </c>
      <c r="BC99" s="529">
        <v>199.04</v>
      </c>
      <c r="BD99" s="253"/>
      <c r="BE99" s="535">
        <v>91</v>
      </c>
      <c r="BF99" s="536">
        <v>144.51</v>
      </c>
      <c r="BG99" s="529">
        <v>202.31</v>
      </c>
      <c r="BH99" s="253"/>
      <c r="BI99" s="535">
        <v>91</v>
      </c>
      <c r="BJ99" s="536">
        <v>146.85</v>
      </c>
      <c r="BK99" s="529">
        <v>205.59</v>
      </c>
      <c r="BL99" s="253"/>
    </row>
    <row r="100" spans="1:64" ht="23.25">
      <c r="A100" s="269">
        <v>92</v>
      </c>
      <c r="B100" s="1437">
        <f t="shared" si="2"/>
        <v>124.77</v>
      </c>
      <c r="C100" s="1438">
        <f t="shared" si="3"/>
        <v>174.68</v>
      </c>
      <c r="D100" s="279"/>
      <c r="E100" s="1420">
        <v>92</v>
      </c>
      <c r="F100" s="1421">
        <v>115.32</v>
      </c>
      <c r="G100" s="1414">
        <v>161.44</v>
      </c>
      <c r="H100" s="1404"/>
      <c r="I100" s="1420">
        <v>92</v>
      </c>
      <c r="J100" s="1421">
        <v>117.68</v>
      </c>
      <c r="K100" s="1414">
        <v>164.75</v>
      </c>
      <c r="L100" s="279"/>
      <c r="M100" s="535">
        <v>92</v>
      </c>
      <c r="N100" s="569">
        <v>120.04</v>
      </c>
      <c r="O100" s="569">
        <v>168.06</v>
      </c>
      <c r="P100" s="253"/>
      <c r="Q100" s="535">
        <v>92</v>
      </c>
      <c r="R100" s="569">
        <v>122.41</v>
      </c>
      <c r="S100" s="569">
        <v>171.37</v>
      </c>
      <c r="T100" s="253"/>
      <c r="U100" s="535">
        <v>92</v>
      </c>
      <c r="V100" s="569">
        <v>124.77</v>
      </c>
      <c r="W100" s="569">
        <v>174.68</v>
      </c>
      <c r="X100" s="253"/>
      <c r="Y100" s="535">
        <v>92</v>
      </c>
      <c r="Z100" s="536">
        <v>127.14</v>
      </c>
      <c r="AA100" s="529">
        <v>177.99</v>
      </c>
      <c r="AB100" s="253"/>
      <c r="AC100" s="535">
        <v>92</v>
      </c>
      <c r="AD100" s="536">
        <v>129.5</v>
      </c>
      <c r="AE100" s="529">
        <v>181.3</v>
      </c>
      <c r="AF100" s="253"/>
      <c r="AG100" s="535">
        <v>92</v>
      </c>
      <c r="AH100" s="536">
        <v>131.87</v>
      </c>
      <c r="AI100" s="529">
        <v>184.61</v>
      </c>
      <c r="AJ100" s="253"/>
      <c r="AK100" s="535">
        <v>92</v>
      </c>
      <c r="AL100" s="536">
        <v>134.22999999999999</v>
      </c>
      <c r="AM100" s="529">
        <v>187.92</v>
      </c>
      <c r="AN100" s="253"/>
      <c r="AO100" s="535">
        <v>92</v>
      </c>
      <c r="AP100" s="536">
        <v>136.6</v>
      </c>
      <c r="AQ100" s="529">
        <v>191.23</v>
      </c>
      <c r="AR100" s="253"/>
      <c r="AS100" s="535">
        <v>92</v>
      </c>
      <c r="AT100" s="536">
        <v>138.96</v>
      </c>
      <c r="AU100" s="529">
        <v>194.54</v>
      </c>
      <c r="AV100" s="253"/>
      <c r="AW100" s="535">
        <v>92</v>
      </c>
      <c r="AX100" s="536">
        <v>141.32</v>
      </c>
      <c r="AY100" s="529">
        <v>197.85</v>
      </c>
      <c r="AZ100" s="253"/>
      <c r="BA100" s="535">
        <v>92</v>
      </c>
      <c r="BB100" s="536">
        <v>143.69</v>
      </c>
      <c r="BC100" s="529">
        <v>201.16</v>
      </c>
      <c r="BD100" s="253"/>
      <c r="BE100" s="535">
        <v>92</v>
      </c>
      <c r="BF100" s="536">
        <v>146.05000000000001</v>
      </c>
      <c r="BG100" s="529">
        <v>204.47</v>
      </c>
      <c r="BH100" s="253"/>
      <c r="BI100" s="535">
        <v>92</v>
      </c>
      <c r="BJ100" s="536">
        <v>148.41999999999999</v>
      </c>
      <c r="BK100" s="529">
        <v>207.78</v>
      </c>
      <c r="BL100" s="253"/>
    </row>
    <row r="101" spans="1:64" ht="23.25">
      <c r="A101" s="269">
        <v>93</v>
      </c>
      <c r="B101" s="1437">
        <f t="shared" si="2"/>
        <v>126.13</v>
      </c>
      <c r="C101" s="1438">
        <f t="shared" si="3"/>
        <v>176.58</v>
      </c>
      <c r="D101" s="279"/>
      <c r="E101" s="1420">
        <v>93</v>
      </c>
      <c r="F101" s="1421">
        <v>116.57</v>
      </c>
      <c r="G101" s="1414">
        <v>163.19999999999999</v>
      </c>
      <c r="H101" s="1404"/>
      <c r="I101" s="1420">
        <v>93</v>
      </c>
      <c r="J101" s="1421">
        <v>118.96</v>
      </c>
      <c r="K101" s="1414">
        <v>166.54</v>
      </c>
      <c r="L101" s="279"/>
      <c r="M101" s="535">
        <v>93</v>
      </c>
      <c r="N101" s="569">
        <v>121.35</v>
      </c>
      <c r="O101" s="569">
        <v>169.89</v>
      </c>
      <c r="P101" s="253"/>
      <c r="Q101" s="535">
        <v>93</v>
      </c>
      <c r="R101" s="569">
        <v>123.74</v>
      </c>
      <c r="S101" s="569">
        <v>173.23</v>
      </c>
      <c r="T101" s="253"/>
      <c r="U101" s="535">
        <v>93</v>
      </c>
      <c r="V101" s="569">
        <v>126.13</v>
      </c>
      <c r="W101" s="569">
        <v>176.58</v>
      </c>
      <c r="X101" s="253"/>
      <c r="Y101" s="535">
        <v>93</v>
      </c>
      <c r="Z101" s="536">
        <v>128.52000000000001</v>
      </c>
      <c r="AA101" s="529">
        <v>179.93</v>
      </c>
      <c r="AB101" s="253"/>
      <c r="AC101" s="535">
        <v>93</v>
      </c>
      <c r="AD101" s="536">
        <v>130.91</v>
      </c>
      <c r="AE101" s="529">
        <v>183.27</v>
      </c>
      <c r="AF101" s="253"/>
      <c r="AG101" s="535">
        <v>93</v>
      </c>
      <c r="AH101" s="536">
        <v>133.30000000000001</v>
      </c>
      <c r="AI101" s="529">
        <v>186.62</v>
      </c>
      <c r="AJ101" s="253"/>
      <c r="AK101" s="535">
        <v>93</v>
      </c>
      <c r="AL101" s="536">
        <v>135.69</v>
      </c>
      <c r="AM101" s="529">
        <v>189.96</v>
      </c>
      <c r="AN101" s="253"/>
      <c r="AO101" s="535">
        <v>93</v>
      </c>
      <c r="AP101" s="536">
        <v>138.08000000000001</v>
      </c>
      <c r="AQ101" s="529">
        <v>193.31</v>
      </c>
      <c r="AR101" s="253"/>
      <c r="AS101" s="535">
        <v>93</v>
      </c>
      <c r="AT101" s="536">
        <v>140.47</v>
      </c>
      <c r="AU101" s="529">
        <v>196.66</v>
      </c>
      <c r="AV101" s="253"/>
      <c r="AW101" s="535">
        <v>93</v>
      </c>
      <c r="AX101" s="536">
        <v>142.86000000000001</v>
      </c>
      <c r="AY101" s="529">
        <v>200</v>
      </c>
      <c r="AZ101" s="253"/>
      <c r="BA101" s="535">
        <v>93</v>
      </c>
      <c r="BB101" s="536">
        <v>145.25</v>
      </c>
      <c r="BC101" s="529">
        <v>203.35</v>
      </c>
      <c r="BD101" s="253"/>
      <c r="BE101" s="535">
        <v>93</v>
      </c>
      <c r="BF101" s="536">
        <v>147.63999999999999</v>
      </c>
      <c r="BG101" s="529">
        <v>206.7</v>
      </c>
      <c r="BH101" s="253"/>
      <c r="BI101" s="535">
        <v>93</v>
      </c>
      <c r="BJ101" s="536">
        <v>150.03</v>
      </c>
      <c r="BK101" s="529">
        <v>210.04</v>
      </c>
      <c r="BL101" s="253"/>
    </row>
    <row r="102" spans="1:64" ht="23.25">
      <c r="A102" s="269">
        <v>94</v>
      </c>
      <c r="B102" s="1437">
        <f t="shared" si="2"/>
        <v>127.49</v>
      </c>
      <c r="C102" s="1438">
        <f t="shared" si="3"/>
        <v>178.48</v>
      </c>
      <c r="D102" s="279"/>
      <c r="E102" s="1420">
        <v>94</v>
      </c>
      <c r="F102" s="1421">
        <v>117.82</v>
      </c>
      <c r="G102" s="1414">
        <v>164.95</v>
      </c>
      <c r="H102" s="1404"/>
      <c r="I102" s="1420">
        <v>94</v>
      </c>
      <c r="J102" s="1421">
        <v>120.24</v>
      </c>
      <c r="K102" s="1414">
        <v>168.33</v>
      </c>
      <c r="L102" s="279"/>
      <c r="M102" s="535">
        <v>94</v>
      </c>
      <c r="N102" s="569">
        <v>122.65</v>
      </c>
      <c r="O102" s="569">
        <v>171.72</v>
      </c>
      <c r="P102" s="253"/>
      <c r="Q102" s="535">
        <v>94</v>
      </c>
      <c r="R102" s="569">
        <v>125.07</v>
      </c>
      <c r="S102" s="569">
        <v>175.1</v>
      </c>
      <c r="T102" s="253"/>
      <c r="U102" s="535">
        <v>94</v>
      </c>
      <c r="V102" s="569">
        <v>127.49</v>
      </c>
      <c r="W102" s="569">
        <v>178.48</v>
      </c>
      <c r="X102" s="253"/>
      <c r="Y102" s="535">
        <v>94</v>
      </c>
      <c r="Z102" s="536">
        <v>129.9</v>
      </c>
      <c r="AA102" s="529">
        <v>181.86</v>
      </c>
      <c r="AB102" s="253"/>
      <c r="AC102" s="535">
        <v>94</v>
      </c>
      <c r="AD102" s="536">
        <v>132.32</v>
      </c>
      <c r="AE102" s="529">
        <v>185.24</v>
      </c>
      <c r="AF102" s="253"/>
      <c r="AG102" s="535">
        <v>94</v>
      </c>
      <c r="AH102" s="536">
        <v>134.72999999999999</v>
      </c>
      <c r="AI102" s="529">
        <v>188.63</v>
      </c>
      <c r="AJ102" s="253"/>
      <c r="AK102" s="535">
        <v>94</v>
      </c>
      <c r="AL102" s="536">
        <v>137.15</v>
      </c>
      <c r="AM102" s="529">
        <v>192.01</v>
      </c>
      <c r="AN102" s="253"/>
      <c r="AO102" s="535">
        <v>94</v>
      </c>
      <c r="AP102" s="536">
        <v>139.56</v>
      </c>
      <c r="AQ102" s="529">
        <v>195.39</v>
      </c>
      <c r="AR102" s="253"/>
      <c r="AS102" s="535">
        <v>94</v>
      </c>
      <c r="AT102" s="536">
        <v>141.97999999999999</v>
      </c>
      <c r="AU102" s="529">
        <v>198.77</v>
      </c>
      <c r="AV102" s="253"/>
      <c r="AW102" s="535">
        <v>94</v>
      </c>
      <c r="AX102" s="536">
        <v>144.4</v>
      </c>
      <c r="AY102" s="529">
        <v>202.16</v>
      </c>
      <c r="AZ102" s="253"/>
      <c r="BA102" s="535">
        <v>94</v>
      </c>
      <c r="BB102" s="536">
        <v>146.81</v>
      </c>
      <c r="BC102" s="529">
        <v>205.54</v>
      </c>
      <c r="BD102" s="253"/>
      <c r="BE102" s="535">
        <v>94</v>
      </c>
      <c r="BF102" s="536">
        <v>149.22999999999999</v>
      </c>
      <c r="BG102" s="529">
        <v>208.92</v>
      </c>
      <c r="BH102" s="253"/>
      <c r="BI102" s="535">
        <v>94</v>
      </c>
      <c r="BJ102" s="536">
        <v>151.63999999999999</v>
      </c>
      <c r="BK102" s="529">
        <v>212.3</v>
      </c>
      <c r="BL102" s="253"/>
    </row>
    <row r="103" spans="1:64" ht="23.25">
      <c r="A103" s="269">
        <v>95</v>
      </c>
      <c r="B103" s="1437">
        <f t="shared" si="2"/>
        <v>128.85</v>
      </c>
      <c r="C103" s="1438">
        <f t="shared" si="3"/>
        <v>180.38</v>
      </c>
      <c r="D103" s="279"/>
      <c r="E103" s="1420">
        <v>95</v>
      </c>
      <c r="F103" s="1421">
        <v>119.08</v>
      </c>
      <c r="G103" s="1414">
        <v>166.71</v>
      </c>
      <c r="H103" s="1404"/>
      <c r="I103" s="1420">
        <v>95</v>
      </c>
      <c r="J103" s="1421">
        <v>121.52</v>
      </c>
      <c r="K103" s="1414">
        <v>170.13</v>
      </c>
      <c r="L103" s="279"/>
      <c r="M103" s="535">
        <v>95</v>
      </c>
      <c r="N103" s="569">
        <v>123.96</v>
      </c>
      <c r="O103" s="569">
        <v>173.55</v>
      </c>
      <c r="P103" s="253"/>
      <c r="Q103" s="535">
        <v>95</v>
      </c>
      <c r="R103" s="569">
        <v>126.4</v>
      </c>
      <c r="S103" s="569">
        <v>176.97</v>
      </c>
      <c r="T103" s="253"/>
      <c r="U103" s="535">
        <v>95</v>
      </c>
      <c r="V103" s="569">
        <v>128.85</v>
      </c>
      <c r="W103" s="569">
        <v>180.38</v>
      </c>
      <c r="X103" s="253"/>
      <c r="Y103" s="535">
        <v>95</v>
      </c>
      <c r="Z103" s="536">
        <v>131.29</v>
      </c>
      <c r="AA103" s="529">
        <v>183.8</v>
      </c>
      <c r="AB103" s="253"/>
      <c r="AC103" s="535">
        <v>95</v>
      </c>
      <c r="AD103" s="536">
        <v>133.72999999999999</v>
      </c>
      <c r="AE103" s="529">
        <v>187.22</v>
      </c>
      <c r="AF103" s="253"/>
      <c r="AG103" s="535">
        <v>95</v>
      </c>
      <c r="AH103" s="536">
        <v>136.16999999999999</v>
      </c>
      <c r="AI103" s="529">
        <v>190.64</v>
      </c>
      <c r="AJ103" s="253"/>
      <c r="AK103" s="535">
        <v>95</v>
      </c>
      <c r="AL103" s="536">
        <v>138.61000000000001</v>
      </c>
      <c r="AM103" s="529">
        <v>194.06</v>
      </c>
      <c r="AN103" s="253"/>
      <c r="AO103" s="535">
        <v>95</v>
      </c>
      <c r="AP103" s="536">
        <v>141.05000000000001</v>
      </c>
      <c r="AQ103" s="529">
        <v>197.48</v>
      </c>
      <c r="AR103" s="253"/>
      <c r="AS103" s="535">
        <v>95</v>
      </c>
      <c r="AT103" s="536">
        <v>143.5</v>
      </c>
      <c r="AU103" s="529">
        <v>200.89</v>
      </c>
      <c r="AV103" s="253"/>
      <c r="AW103" s="535">
        <v>95</v>
      </c>
      <c r="AX103" s="536">
        <v>145.94</v>
      </c>
      <c r="AY103" s="529">
        <v>204.31</v>
      </c>
      <c r="AZ103" s="253"/>
      <c r="BA103" s="535">
        <v>95</v>
      </c>
      <c r="BB103" s="536">
        <v>148.38</v>
      </c>
      <c r="BC103" s="529">
        <v>207.73</v>
      </c>
      <c r="BD103" s="253"/>
      <c r="BE103" s="535">
        <v>95</v>
      </c>
      <c r="BF103" s="536">
        <v>150.82</v>
      </c>
      <c r="BG103" s="529">
        <v>211.15</v>
      </c>
      <c r="BH103" s="253"/>
      <c r="BI103" s="535">
        <v>95</v>
      </c>
      <c r="BJ103" s="536">
        <v>153.26</v>
      </c>
      <c r="BK103" s="529">
        <v>214.57</v>
      </c>
      <c r="BL103" s="253"/>
    </row>
    <row r="104" spans="1:64" ht="23.25">
      <c r="A104" s="269">
        <v>96</v>
      </c>
      <c r="B104" s="1437">
        <f t="shared" si="2"/>
        <v>130.21</v>
      </c>
      <c r="C104" s="1438">
        <f t="shared" si="3"/>
        <v>182.29</v>
      </c>
      <c r="D104" s="279"/>
      <c r="E104" s="1420">
        <v>96</v>
      </c>
      <c r="F104" s="1421">
        <v>120.34</v>
      </c>
      <c r="G104" s="1414">
        <v>168.48</v>
      </c>
      <c r="H104" s="1404"/>
      <c r="I104" s="1420">
        <v>96</v>
      </c>
      <c r="J104" s="1421">
        <v>122.81</v>
      </c>
      <c r="K104" s="1414">
        <v>171.93</v>
      </c>
      <c r="L104" s="279"/>
      <c r="M104" s="535">
        <v>96</v>
      </c>
      <c r="N104" s="569">
        <v>125.27</v>
      </c>
      <c r="O104" s="569">
        <v>175.38</v>
      </c>
      <c r="P104" s="253"/>
      <c r="Q104" s="535">
        <v>96</v>
      </c>
      <c r="R104" s="569">
        <v>127.74</v>
      </c>
      <c r="S104" s="569">
        <v>178.84</v>
      </c>
      <c r="T104" s="253"/>
      <c r="U104" s="535">
        <v>96</v>
      </c>
      <c r="V104" s="569">
        <v>130.21</v>
      </c>
      <c r="W104" s="569">
        <v>182.29</v>
      </c>
      <c r="X104" s="253"/>
      <c r="Y104" s="535">
        <v>96</v>
      </c>
      <c r="Z104" s="536">
        <v>132.68</v>
      </c>
      <c r="AA104" s="529">
        <v>185.75</v>
      </c>
      <c r="AB104" s="253"/>
      <c r="AC104" s="535">
        <v>96</v>
      </c>
      <c r="AD104" s="536">
        <v>135.13999999999999</v>
      </c>
      <c r="AE104" s="529">
        <v>189.2</v>
      </c>
      <c r="AF104" s="253"/>
      <c r="AG104" s="535">
        <v>96</v>
      </c>
      <c r="AH104" s="536">
        <v>137.61000000000001</v>
      </c>
      <c r="AI104" s="529">
        <v>192.65</v>
      </c>
      <c r="AJ104" s="253"/>
      <c r="AK104" s="535">
        <v>96</v>
      </c>
      <c r="AL104" s="536">
        <v>140.08000000000001</v>
      </c>
      <c r="AM104" s="529">
        <v>196.11</v>
      </c>
      <c r="AN104" s="253"/>
      <c r="AO104" s="535">
        <v>96</v>
      </c>
      <c r="AP104" s="536">
        <v>142.55000000000001</v>
      </c>
      <c r="AQ104" s="529">
        <v>199.56</v>
      </c>
      <c r="AR104" s="253"/>
      <c r="AS104" s="535">
        <v>96</v>
      </c>
      <c r="AT104" s="536">
        <v>145.01</v>
      </c>
      <c r="AU104" s="529">
        <v>203.02</v>
      </c>
      <c r="AV104" s="253"/>
      <c r="AW104" s="535">
        <v>96</v>
      </c>
      <c r="AX104" s="536">
        <v>147.47999999999999</v>
      </c>
      <c r="AY104" s="529">
        <v>206.47</v>
      </c>
      <c r="AZ104" s="253"/>
      <c r="BA104" s="535">
        <v>96</v>
      </c>
      <c r="BB104" s="536">
        <v>149.94999999999999</v>
      </c>
      <c r="BC104" s="529">
        <v>209.93</v>
      </c>
      <c r="BD104" s="253"/>
      <c r="BE104" s="535">
        <v>96</v>
      </c>
      <c r="BF104" s="536">
        <v>152.41</v>
      </c>
      <c r="BG104" s="529">
        <v>213.38</v>
      </c>
      <c r="BH104" s="253"/>
      <c r="BI104" s="535">
        <v>96</v>
      </c>
      <c r="BJ104" s="536">
        <v>154.88</v>
      </c>
      <c r="BK104" s="529">
        <v>216.83</v>
      </c>
      <c r="BL104" s="253"/>
    </row>
    <row r="105" spans="1:64" ht="23.25">
      <c r="A105" s="269">
        <v>97</v>
      </c>
      <c r="B105" s="1437">
        <f t="shared" si="2"/>
        <v>131.53</v>
      </c>
      <c r="C105" s="1438">
        <f t="shared" si="3"/>
        <v>184.14</v>
      </c>
      <c r="D105" s="279"/>
      <c r="E105" s="1420">
        <v>97</v>
      </c>
      <c r="F105" s="1421">
        <v>121.56</v>
      </c>
      <c r="G105" s="1414">
        <v>170.18</v>
      </c>
      <c r="H105" s="1404"/>
      <c r="I105" s="1420">
        <v>97</v>
      </c>
      <c r="J105" s="1421">
        <v>124.05</v>
      </c>
      <c r="K105" s="1414">
        <v>173.67</v>
      </c>
      <c r="L105" s="279"/>
      <c r="M105" s="535">
        <v>97</v>
      </c>
      <c r="N105" s="569">
        <v>126.55</v>
      </c>
      <c r="O105" s="569">
        <v>177.16</v>
      </c>
      <c r="P105" s="253"/>
      <c r="Q105" s="535">
        <v>97</v>
      </c>
      <c r="R105" s="569">
        <v>129.04</v>
      </c>
      <c r="S105" s="569">
        <v>180.65</v>
      </c>
      <c r="T105" s="253"/>
      <c r="U105" s="535">
        <v>97</v>
      </c>
      <c r="V105" s="569">
        <v>131.53</v>
      </c>
      <c r="W105" s="569">
        <v>184.14</v>
      </c>
      <c r="X105" s="253"/>
      <c r="Y105" s="535">
        <v>97</v>
      </c>
      <c r="Z105" s="536">
        <v>134.02000000000001</v>
      </c>
      <c r="AA105" s="529">
        <v>187.63</v>
      </c>
      <c r="AB105" s="253"/>
      <c r="AC105" s="535">
        <v>97</v>
      </c>
      <c r="AD105" s="536">
        <v>136.52000000000001</v>
      </c>
      <c r="AE105" s="529">
        <v>191.12</v>
      </c>
      <c r="AF105" s="253"/>
      <c r="AG105" s="535">
        <v>97</v>
      </c>
      <c r="AH105" s="536">
        <v>139.01</v>
      </c>
      <c r="AI105" s="529">
        <v>194.61</v>
      </c>
      <c r="AJ105" s="253"/>
      <c r="AK105" s="535">
        <v>97</v>
      </c>
      <c r="AL105" s="536">
        <v>141.5</v>
      </c>
      <c r="AM105" s="529">
        <v>198.1</v>
      </c>
      <c r="AN105" s="253"/>
      <c r="AO105" s="535">
        <v>97</v>
      </c>
      <c r="AP105" s="536">
        <v>144</v>
      </c>
      <c r="AQ105" s="529">
        <v>201.59</v>
      </c>
      <c r="AR105" s="253"/>
      <c r="AS105" s="535">
        <v>97</v>
      </c>
      <c r="AT105" s="536">
        <v>146.49</v>
      </c>
      <c r="AU105" s="529">
        <v>205.08</v>
      </c>
      <c r="AV105" s="253"/>
      <c r="AW105" s="535">
        <v>97</v>
      </c>
      <c r="AX105" s="536">
        <v>148.97999999999999</v>
      </c>
      <c r="AY105" s="529">
        <v>208.57</v>
      </c>
      <c r="AZ105" s="253"/>
      <c r="BA105" s="535">
        <v>97</v>
      </c>
      <c r="BB105" s="536">
        <v>151.47</v>
      </c>
      <c r="BC105" s="529">
        <v>212.06</v>
      </c>
      <c r="BD105" s="253"/>
      <c r="BE105" s="535">
        <v>97</v>
      </c>
      <c r="BF105" s="536">
        <v>153.97</v>
      </c>
      <c r="BG105" s="529">
        <v>215.55</v>
      </c>
      <c r="BH105" s="253"/>
      <c r="BI105" s="535">
        <v>97</v>
      </c>
      <c r="BJ105" s="536">
        <v>156.46</v>
      </c>
      <c r="BK105" s="529">
        <v>219.04</v>
      </c>
      <c r="BL105" s="253"/>
    </row>
    <row r="106" spans="1:64" ht="23.25">
      <c r="A106" s="269">
        <v>98</v>
      </c>
      <c r="B106" s="1437">
        <f t="shared" si="2"/>
        <v>132.9</v>
      </c>
      <c r="C106" s="1438">
        <f t="shared" si="3"/>
        <v>186.06</v>
      </c>
      <c r="D106" s="279"/>
      <c r="E106" s="1420">
        <v>98</v>
      </c>
      <c r="F106" s="1421">
        <v>122.82</v>
      </c>
      <c r="G106" s="1414">
        <v>171.95</v>
      </c>
      <c r="H106" s="1404"/>
      <c r="I106" s="1420">
        <v>98</v>
      </c>
      <c r="J106" s="1421">
        <v>125.34</v>
      </c>
      <c r="K106" s="1414">
        <v>175.48</v>
      </c>
      <c r="L106" s="279"/>
      <c r="M106" s="535">
        <v>98</v>
      </c>
      <c r="N106" s="569">
        <v>127.86</v>
      </c>
      <c r="O106" s="569">
        <v>179.01</v>
      </c>
      <c r="P106" s="253"/>
      <c r="Q106" s="535">
        <v>98</v>
      </c>
      <c r="R106" s="569">
        <v>130.38</v>
      </c>
      <c r="S106" s="569">
        <v>182.53</v>
      </c>
      <c r="T106" s="253"/>
      <c r="U106" s="535">
        <v>98</v>
      </c>
      <c r="V106" s="569">
        <v>132.9</v>
      </c>
      <c r="W106" s="569">
        <v>186.06</v>
      </c>
      <c r="X106" s="253"/>
      <c r="Y106" s="535">
        <v>98</v>
      </c>
      <c r="Z106" s="536">
        <v>135.41999999999999</v>
      </c>
      <c r="AA106" s="529">
        <v>189.58</v>
      </c>
      <c r="AB106" s="253"/>
      <c r="AC106" s="535">
        <v>98</v>
      </c>
      <c r="AD106" s="536">
        <v>137.94</v>
      </c>
      <c r="AE106" s="529">
        <v>193.11</v>
      </c>
      <c r="AF106" s="253"/>
      <c r="AG106" s="535">
        <v>98</v>
      </c>
      <c r="AH106" s="536">
        <v>140.44999999999999</v>
      </c>
      <c r="AI106" s="529">
        <v>196.64</v>
      </c>
      <c r="AJ106" s="253"/>
      <c r="AK106" s="535">
        <v>98</v>
      </c>
      <c r="AL106" s="536">
        <v>142.97</v>
      </c>
      <c r="AM106" s="529">
        <v>200.16</v>
      </c>
      <c r="AN106" s="253"/>
      <c r="AO106" s="535">
        <v>98</v>
      </c>
      <c r="AP106" s="536">
        <v>145.49</v>
      </c>
      <c r="AQ106" s="529">
        <v>203.69</v>
      </c>
      <c r="AR106" s="253"/>
      <c r="AS106" s="535">
        <v>98</v>
      </c>
      <c r="AT106" s="536">
        <v>148.01</v>
      </c>
      <c r="AU106" s="529">
        <v>207.22</v>
      </c>
      <c r="AV106" s="253"/>
      <c r="AW106" s="535">
        <v>98</v>
      </c>
      <c r="AX106" s="536">
        <v>150.53</v>
      </c>
      <c r="AY106" s="529">
        <v>210.74</v>
      </c>
      <c r="AZ106" s="253"/>
      <c r="BA106" s="535">
        <v>98</v>
      </c>
      <c r="BB106" s="536">
        <v>153.05000000000001</v>
      </c>
      <c r="BC106" s="529">
        <v>214.27</v>
      </c>
      <c r="BD106" s="253"/>
      <c r="BE106" s="535">
        <v>98</v>
      </c>
      <c r="BF106" s="536">
        <v>155.57</v>
      </c>
      <c r="BG106" s="529">
        <v>217.79</v>
      </c>
      <c r="BH106" s="253"/>
      <c r="BI106" s="535">
        <v>98</v>
      </c>
      <c r="BJ106" s="536">
        <v>158.09</v>
      </c>
      <c r="BK106" s="529">
        <v>221.32</v>
      </c>
      <c r="BL106" s="253"/>
    </row>
    <row r="107" spans="1:64" ht="23.25">
      <c r="A107" s="269">
        <v>99</v>
      </c>
      <c r="B107" s="1437">
        <f t="shared" si="2"/>
        <v>134.22</v>
      </c>
      <c r="C107" s="1438">
        <f t="shared" si="3"/>
        <v>187.91</v>
      </c>
      <c r="D107" s="279"/>
      <c r="E107" s="1420">
        <v>99</v>
      </c>
      <c r="F107" s="1421">
        <v>124.05</v>
      </c>
      <c r="G107" s="1414">
        <v>173.67</v>
      </c>
      <c r="H107" s="1404"/>
      <c r="I107" s="1420">
        <v>99</v>
      </c>
      <c r="J107" s="1421">
        <v>126.59</v>
      </c>
      <c r="K107" s="1414">
        <v>177.23</v>
      </c>
      <c r="L107" s="279"/>
      <c r="M107" s="535">
        <v>99</v>
      </c>
      <c r="N107" s="569">
        <v>129.13999999999999</v>
      </c>
      <c r="O107" s="569">
        <v>180.79</v>
      </c>
      <c r="P107" s="253"/>
      <c r="Q107" s="535">
        <v>99</v>
      </c>
      <c r="R107" s="569">
        <v>131.68</v>
      </c>
      <c r="S107" s="569">
        <v>184.35</v>
      </c>
      <c r="T107" s="253"/>
      <c r="U107" s="535">
        <v>99</v>
      </c>
      <c r="V107" s="569">
        <v>134.22</v>
      </c>
      <c r="W107" s="569">
        <v>187.91</v>
      </c>
      <c r="X107" s="253"/>
      <c r="Y107" s="535">
        <v>99</v>
      </c>
      <c r="Z107" s="536">
        <v>136.77000000000001</v>
      </c>
      <c r="AA107" s="529">
        <v>191.48</v>
      </c>
      <c r="AB107" s="253"/>
      <c r="AC107" s="535">
        <v>99</v>
      </c>
      <c r="AD107" s="536">
        <v>139.31</v>
      </c>
      <c r="AE107" s="529">
        <v>195.04</v>
      </c>
      <c r="AF107" s="253"/>
      <c r="AG107" s="535">
        <v>99</v>
      </c>
      <c r="AH107" s="536">
        <v>141.86000000000001</v>
      </c>
      <c r="AI107" s="529">
        <v>198.6</v>
      </c>
      <c r="AJ107" s="253"/>
      <c r="AK107" s="535">
        <v>99</v>
      </c>
      <c r="AL107" s="536">
        <v>144.4</v>
      </c>
      <c r="AM107" s="529">
        <v>202.16</v>
      </c>
      <c r="AN107" s="253"/>
      <c r="AO107" s="535">
        <v>99</v>
      </c>
      <c r="AP107" s="536">
        <v>146.94999999999999</v>
      </c>
      <c r="AQ107" s="529">
        <v>205.72</v>
      </c>
      <c r="AR107" s="253"/>
      <c r="AS107" s="535">
        <v>99</v>
      </c>
      <c r="AT107" s="536">
        <v>149.49</v>
      </c>
      <c r="AU107" s="529">
        <v>209.29</v>
      </c>
      <c r="AV107" s="253"/>
      <c r="AW107" s="535">
        <v>99</v>
      </c>
      <c r="AX107" s="536">
        <v>152.03</v>
      </c>
      <c r="AY107" s="529">
        <v>212.85</v>
      </c>
      <c r="AZ107" s="253"/>
      <c r="BA107" s="535">
        <v>99</v>
      </c>
      <c r="BB107" s="536">
        <v>154.58000000000001</v>
      </c>
      <c r="BC107" s="529">
        <v>216.41</v>
      </c>
      <c r="BD107" s="253"/>
      <c r="BE107" s="535">
        <v>99</v>
      </c>
      <c r="BF107" s="536">
        <v>157.12</v>
      </c>
      <c r="BG107" s="529">
        <v>219.97</v>
      </c>
      <c r="BH107" s="253"/>
      <c r="BI107" s="535">
        <v>99</v>
      </c>
      <c r="BJ107" s="536">
        <v>159.66999999999999</v>
      </c>
      <c r="BK107" s="529">
        <v>223.53</v>
      </c>
      <c r="BL107" s="253"/>
    </row>
    <row r="108" spans="1:64" ht="23.25">
      <c r="A108" s="269">
        <v>100</v>
      </c>
      <c r="B108" s="1437">
        <f t="shared" si="2"/>
        <v>135.6</v>
      </c>
      <c r="C108" s="1438">
        <f t="shared" si="3"/>
        <v>189.84</v>
      </c>
      <c r="D108" s="279"/>
      <c r="E108" s="1420">
        <v>100</v>
      </c>
      <c r="F108" s="1421">
        <v>125.32</v>
      </c>
      <c r="G108" s="1414">
        <v>175.44</v>
      </c>
      <c r="H108" s="1404"/>
      <c r="I108" s="1420">
        <v>100</v>
      </c>
      <c r="J108" s="1421">
        <v>127.89</v>
      </c>
      <c r="K108" s="1414">
        <v>179.04</v>
      </c>
      <c r="L108" s="279"/>
      <c r="M108" s="535">
        <v>100</v>
      </c>
      <c r="N108" s="569">
        <v>130.46</v>
      </c>
      <c r="O108" s="569">
        <v>182.64</v>
      </c>
      <c r="P108" s="253"/>
      <c r="Q108" s="535">
        <v>100</v>
      </c>
      <c r="R108" s="569">
        <v>133.03</v>
      </c>
      <c r="S108" s="569">
        <v>186.24</v>
      </c>
      <c r="T108" s="253"/>
      <c r="U108" s="535">
        <v>100</v>
      </c>
      <c r="V108" s="569">
        <v>135.6</v>
      </c>
      <c r="W108" s="569">
        <v>189.84</v>
      </c>
      <c r="X108" s="253"/>
      <c r="Y108" s="535">
        <v>100</v>
      </c>
      <c r="Z108" s="536">
        <v>138.16999999999999</v>
      </c>
      <c r="AA108" s="529">
        <v>193.43</v>
      </c>
      <c r="AB108" s="253"/>
      <c r="AC108" s="535">
        <v>100</v>
      </c>
      <c r="AD108" s="536">
        <v>140.74</v>
      </c>
      <c r="AE108" s="529">
        <v>197.03</v>
      </c>
      <c r="AF108" s="253"/>
      <c r="AG108" s="535">
        <v>100</v>
      </c>
      <c r="AH108" s="536">
        <v>143.31</v>
      </c>
      <c r="AI108" s="529">
        <v>200.63</v>
      </c>
      <c r="AJ108" s="253"/>
      <c r="AK108" s="535">
        <v>100</v>
      </c>
      <c r="AL108" s="536">
        <v>145.88</v>
      </c>
      <c r="AM108" s="529">
        <v>204.23</v>
      </c>
      <c r="AN108" s="253"/>
      <c r="AO108" s="535">
        <v>100</v>
      </c>
      <c r="AP108" s="536">
        <v>148.44999999999999</v>
      </c>
      <c r="AQ108" s="529">
        <v>207.83</v>
      </c>
      <c r="AR108" s="253"/>
      <c r="AS108" s="535">
        <v>100</v>
      </c>
      <c r="AT108" s="536">
        <v>151.02000000000001</v>
      </c>
      <c r="AU108" s="529">
        <v>211.42</v>
      </c>
      <c r="AV108" s="253"/>
      <c r="AW108" s="535">
        <v>100</v>
      </c>
      <c r="AX108" s="536">
        <v>153.59</v>
      </c>
      <c r="AY108" s="529">
        <v>215.02</v>
      </c>
      <c r="AZ108" s="253"/>
      <c r="BA108" s="535">
        <v>100</v>
      </c>
      <c r="BB108" s="536">
        <v>156.16</v>
      </c>
      <c r="BC108" s="529">
        <v>218.62</v>
      </c>
      <c r="BD108" s="253"/>
      <c r="BE108" s="535">
        <v>100</v>
      </c>
      <c r="BF108" s="536">
        <v>158.72999999999999</v>
      </c>
      <c r="BG108" s="529">
        <v>222.22</v>
      </c>
      <c r="BH108" s="253"/>
      <c r="BI108" s="535">
        <v>100</v>
      </c>
      <c r="BJ108" s="536">
        <v>161.30000000000001</v>
      </c>
      <c r="BK108" s="529">
        <v>225.82</v>
      </c>
      <c r="BL108" s="253"/>
    </row>
    <row r="109" spans="1:64" ht="23.25">
      <c r="A109" s="269">
        <v>101</v>
      </c>
      <c r="B109" s="1437">
        <f t="shared" si="2"/>
        <v>136.93</v>
      </c>
      <c r="C109" s="1438">
        <f t="shared" si="3"/>
        <v>191.7</v>
      </c>
      <c r="D109" s="279"/>
      <c r="E109" s="1420">
        <v>101</v>
      </c>
      <c r="F109" s="1421">
        <v>126.54</v>
      </c>
      <c r="G109" s="1414">
        <v>177.16</v>
      </c>
      <c r="H109" s="1404"/>
      <c r="I109" s="1420">
        <v>101</v>
      </c>
      <c r="J109" s="1421">
        <v>129.13999999999999</v>
      </c>
      <c r="K109" s="1414">
        <v>180.8</v>
      </c>
      <c r="L109" s="279"/>
      <c r="M109" s="535">
        <v>101</v>
      </c>
      <c r="N109" s="569">
        <v>131.74</v>
      </c>
      <c r="O109" s="569">
        <v>184.43</v>
      </c>
      <c r="P109" s="253"/>
      <c r="Q109" s="535">
        <v>101</v>
      </c>
      <c r="R109" s="569">
        <v>134.33000000000001</v>
      </c>
      <c r="S109" s="569">
        <v>188.06</v>
      </c>
      <c r="T109" s="253"/>
      <c r="U109" s="535">
        <v>101</v>
      </c>
      <c r="V109" s="569">
        <v>136.93</v>
      </c>
      <c r="W109" s="569">
        <v>191.7</v>
      </c>
      <c r="X109" s="253"/>
      <c r="Y109" s="535">
        <v>101</v>
      </c>
      <c r="Z109" s="536">
        <v>139.52000000000001</v>
      </c>
      <c r="AA109" s="529">
        <v>195.33</v>
      </c>
      <c r="AB109" s="253"/>
      <c r="AC109" s="535">
        <v>101</v>
      </c>
      <c r="AD109" s="536">
        <v>142.12</v>
      </c>
      <c r="AE109" s="529">
        <v>198.97</v>
      </c>
      <c r="AF109" s="253"/>
      <c r="AG109" s="535">
        <v>101</v>
      </c>
      <c r="AH109" s="536">
        <v>144.71</v>
      </c>
      <c r="AI109" s="529">
        <v>202.6</v>
      </c>
      <c r="AJ109" s="253"/>
      <c r="AK109" s="535">
        <v>101</v>
      </c>
      <c r="AL109" s="536">
        <v>147.31</v>
      </c>
      <c r="AM109" s="529">
        <v>206.23</v>
      </c>
      <c r="AN109" s="253"/>
      <c r="AO109" s="535">
        <v>101</v>
      </c>
      <c r="AP109" s="536">
        <v>149.91</v>
      </c>
      <c r="AQ109" s="529">
        <v>209.87</v>
      </c>
      <c r="AR109" s="253"/>
      <c r="AS109" s="535">
        <v>101</v>
      </c>
      <c r="AT109" s="536">
        <v>152</v>
      </c>
      <c r="AU109" s="529">
        <v>213.5</v>
      </c>
      <c r="AV109" s="253"/>
      <c r="AW109" s="535">
        <v>101</v>
      </c>
      <c r="AX109" s="536">
        <v>155.1</v>
      </c>
      <c r="AY109" s="529">
        <v>217.14</v>
      </c>
      <c r="AZ109" s="253"/>
      <c r="BA109" s="535">
        <v>101</v>
      </c>
      <c r="BB109" s="536">
        <v>157.69</v>
      </c>
      <c r="BC109" s="529">
        <v>220.77</v>
      </c>
      <c r="BD109" s="253"/>
      <c r="BE109" s="535">
        <v>101</v>
      </c>
      <c r="BF109" s="536">
        <v>160.29</v>
      </c>
      <c r="BG109" s="529">
        <v>224.4</v>
      </c>
      <c r="BH109" s="253"/>
      <c r="BI109" s="535">
        <v>101</v>
      </c>
      <c r="BJ109" s="536">
        <v>162.88</v>
      </c>
      <c r="BK109" s="529">
        <v>228.04</v>
      </c>
      <c r="BL109" s="253"/>
    </row>
    <row r="110" spans="1:64" ht="23.25">
      <c r="A110" s="269">
        <v>102</v>
      </c>
      <c r="B110" s="1437">
        <f t="shared" si="2"/>
        <v>138.30000000000001</v>
      </c>
      <c r="C110" s="1438">
        <f t="shared" si="3"/>
        <v>193.63</v>
      </c>
      <c r="D110" s="279"/>
      <c r="E110" s="1420">
        <v>102</v>
      </c>
      <c r="F110" s="1421">
        <v>127.82</v>
      </c>
      <c r="G110" s="1414">
        <v>178.95</v>
      </c>
      <c r="H110" s="1404"/>
      <c r="I110" s="1420">
        <v>102</v>
      </c>
      <c r="J110" s="1421">
        <v>130.44</v>
      </c>
      <c r="K110" s="1414">
        <v>182.62</v>
      </c>
      <c r="L110" s="279"/>
      <c r="M110" s="535">
        <v>102</v>
      </c>
      <c r="N110" s="569">
        <v>133.06</v>
      </c>
      <c r="O110" s="569">
        <v>186.29</v>
      </c>
      <c r="P110" s="253"/>
      <c r="Q110" s="535">
        <v>102</v>
      </c>
      <c r="R110" s="569">
        <v>135.68</v>
      </c>
      <c r="S110" s="569">
        <v>189.96</v>
      </c>
      <c r="T110" s="253"/>
      <c r="U110" s="535">
        <v>102</v>
      </c>
      <c r="V110" s="569">
        <v>138.30000000000001</v>
      </c>
      <c r="W110" s="569">
        <v>193.63</v>
      </c>
      <c r="X110" s="253"/>
      <c r="Y110" s="535">
        <v>102</v>
      </c>
      <c r="Z110" s="536">
        <v>140.93</v>
      </c>
      <c r="AA110" s="529">
        <v>197.3</v>
      </c>
      <c r="AB110" s="253"/>
      <c r="AC110" s="535">
        <v>102</v>
      </c>
      <c r="AD110" s="536">
        <v>143.55000000000001</v>
      </c>
      <c r="AE110" s="529">
        <v>200.97</v>
      </c>
      <c r="AF110" s="253"/>
      <c r="AG110" s="535">
        <v>102</v>
      </c>
      <c r="AH110" s="536">
        <v>146.16999999999999</v>
      </c>
      <c r="AI110" s="529">
        <v>204.64</v>
      </c>
      <c r="AJ110" s="253"/>
      <c r="AK110" s="535">
        <v>102</v>
      </c>
      <c r="AL110" s="536">
        <v>148.79</v>
      </c>
      <c r="AM110" s="529">
        <v>208.31</v>
      </c>
      <c r="AN110" s="253"/>
      <c r="AO110" s="535">
        <v>102</v>
      </c>
      <c r="AP110" s="536">
        <v>151.41</v>
      </c>
      <c r="AQ110" s="529">
        <v>211.98</v>
      </c>
      <c r="AR110" s="253"/>
      <c r="AS110" s="535">
        <v>102</v>
      </c>
      <c r="AT110" s="536">
        <v>154.03</v>
      </c>
      <c r="AU110" s="529">
        <v>215.65</v>
      </c>
      <c r="AV110" s="253"/>
      <c r="AW110" s="535">
        <v>102</v>
      </c>
      <c r="AX110" s="536">
        <v>156.65</v>
      </c>
      <c r="AY110" s="529">
        <v>219.32</v>
      </c>
      <c r="AZ110" s="253"/>
      <c r="BA110" s="535">
        <v>102</v>
      </c>
      <c r="BB110" s="536">
        <v>159.28</v>
      </c>
      <c r="BC110" s="529">
        <v>222.99</v>
      </c>
      <c r="BD110" s="253"/>
      <c r="BE110" s="535">
        <v>102</v>
      </c>
      <c r="BF110" s="536">
        <v>161.9</v>
      </c>
      <c r="BG110" s="529">
        <v>226.66</v>
      </c>
      <c r="BH110" s="253"/>
      <c r="BI110" s="535">
        <v>102</v>
      </c>
      <c r="BJ110" s="536">
        <v>164.52</v>
      </c>
      <c r="BK110" s="529">
        <v>230.33</v>
      </c>
      <c r="BL110" s="253"/>
    </row>
    <row r="111" spans="1:64" ht="23.25">
      <c r="A111" s="269">
        <v>103</v>
      </c>
      <c r="B111" s="1437">
        <f t="shared" si="2"/>
        <v>139.63999999999999</v>
      </c>
      <c r="C111" s="1438">
        <f t="shared" si="3"/>
        <v>195.49</v>
      </c>
      <c r="D111" s="279"/>
      <c r="E111" s="1420">
        <v>103</v>
      </c>
      <c r="F111" s="1421">
        <v>129.05000000000001</v>
      </c>
      <c r="G111" s="1414">
        <v>180.67</v>
      </c>
      <c r="H111" s="1404"/>
      <c r="I111" s="1420">
        <v>103</v>
      </c>
      <c r="J111" s="1421">
        <v>131.69999999999999</v>
      </c>
      <c r="K111" s="1414">
        <v>184.37</v>
      </c>
      <c r="L111" s="279"/>
      <c r="M111" s="535">
        <v>103</v>
      </c>
      <c r="N111" s="569">
        <v>134.34</v>
      </c>
      <c r="O111" s="569">
        <v>188.08</v>
      </c>
      <c r="P111" s="253"/>
      <c r="Q111" s="535">
        <v>103</v>
      </c>
      <c r="R111" s="569">
        <v>136.99</v>
      </c>
      <c r="S111" s="569">
        <v>191.79</v>
      </c>
      <c r="T111" s="253"/>
      <c r="U111" s="535">
        <v>103</v>
      </c>
      <c r="V111" s="569">
        <v>139.63999999999999</v>
      </c>
      <c r="W111" s="569">
        <v>195.49</v>
      </c>
      <c r="X111" s="253"/>
      <c r="Y111" s="535">
        <v>103</v>
      </c>
      <c r="Z111" s="536">
        <v>142.28</v>
      </c>
      <c r="AA111" s="529">
        <v>199.2</v>
      </c>
      <c r="AB111" s="253"/>
      <c r="AC111" s="535">
        <v>103</v>
      </c>
      <c r="AD111" s="536">
        <v>144.93</v>
      </c>
      <c r="AE111" s="529">
        <v>202.9</v>
      </c>
      <c r="AF111" s="253"/>
      <c r="AG111" s="535">
        <v>103</v>
      </c>
      <c r="AH111" s="536">
        <v>147.58000000000001</v>
      </c>
      <c r="AI111" s="529">
        <v>206.61</v>
      </c>
      <c r="AJ111" s="253"/>
      <c r="AK111" s="535">
        <v>103</v>
      </c>
      <c r="AL111" s="536">
        <v>150.22999999999999</v>
      </c>
      <c r="AM111" s="529">
        <v>210.32</v>
      </c>
      <c r="AN111" s="253"/>
      <c r="AO111" s="535">
        <v>103</v>
      </c>
      <c r="AP111" s="536">
        <v>152.87</v>
      </c>
      <c r="AQ111" s="529">
        <v>214.02</v>
      </c>
      <c r="AR111" s="253"/>
      <c r="AS111" s="535">
        <v>103</v>
      </c>
      <c r="AT111" s="536">
        <v>155.52000000000001</v>
      </c>
      <c r="AU111" s="529">
        <v>217.73</v>
      </c>
      <c r="AV111" s="253"/>
      <c r="AW111" s="535">
        <v>103</v>
      </c>
      <c r="AX111" s="536">
        <v>158.16999999999999</v>
      </c>
      <c r="AY111" s="529">
        <v>221.43</v>
      </c>
      <c r="AZ111" s="253"/>
      <c r="BA111" s="535">
        <v>103</v>
      </c>
      <c r="BB111" s="536">
        <v>160.81</v>
      </c>
      <c r="BC111" s="529">
        <v>225.14</v>
      </c>
      <c r="BD111" s="253"/>
      <c r="BE111" s="535">
        <v>103</v>
      </c>
      <c r="BF111" s="536">
        <v>163.46</v>
      </c>
      <c r="BG111" s="529">
        <v>228.85</v>
      </c>
      <c r="BH111" s="253"/>
      <c r="BI111" s="535">
        <v>103</v>
      </c>
      <c r="BJ111" s="536">
        <v>166.11</v>
      </c>
      <c r="BK111" s="529">
        <v>232.55</v>
      </c>
      <c r="BL111" s="253"/>
    </row>
    <row r="112" spans="1:64" ht="23.25">
      <c r="A112" s="269">
        <v>104</v>
      </c>
      <c r="B112" s="1437">
        <f t="shared" si="2"/>
        <v>140.97</v>
      </c>
      <c r="C112" s="1438">
        <f t="shared" si="3"/>
        <v>197.36</v>
      </c>
      <c r="D112" s="279"/>
      <c r="E112" s="1420">
        <v>104</v>
      </c>
      <c r="F112" s="1421">
        <v>130.28</v>
      </c>
      <c r="G112" s="1414">
        <v>182.39</v>
      </c>
      <c r="H112" s="1404"/>
      <c r="I112" s="1420">
        <v>104</v>
      </c>
      <c r="J112" s="1421">
        <v>132.94999999999999</v>
      </c>
      <c r="K112" s="1414">
        <v>186.13</v>
      </c>
      <c r="L112" s="279"/>
      <c r="M112" s="535">
        <v>104</v>
      </c>
      <c r="N112" s="569">
        <v>135.63</v>
      </c>
      <c r="O112" s="569">
        <v>189.88</v>
      </c>
      <c r="P112" s="253"/>
      <c r="Q112" s="535">
        <v>104</v>
      </c>
      <c r="R112" s="569">
        <v>138.30000000000001</v>
      </c>
      <c r="S112" s="569">
        <v>193.62</v>
      </c>
      <c r="T112" s="253"/>
      <c r="U112" s="535">
        <v>104</v>
      </c>
      <c r="V112" s="569">
        <v>140.97</v>
      </c>
      <c r="W112" s="569">
        <v>197.36</v>
      </c>
      <c r="X112" s="253"/>
      <c r="Y112" s="535">
        <v>104</v>
      </c>
      <c r="Z112" s="536">
        <v>143.63999999999999</v>
      </c>
      <c r="AA112" s="529">
        <v>201.1</v>
      </c>
      <c r="AB112" s="253"/>
      <c r="AC112" s="535">
        <v>104</v>
      </c>
      <c r="AD112" s="536">
        <v>146.32</v>
      </c>
      <c r="AE112" s="529">
        <v>204.84</v>
      </c>
      <c r="AF112" s="253"/>
      <c r="AG112" s="535">
        <v>104</v>
      </c>
      <c r="AH112" s="536">
        <v>148.99</v>
      </c>
      <c r="AI112" s="529">
        <v>208.59</v>
      </c>
      <c r="AJ112" s="253"/>
      <c r="AK112" s="535">
        <v>104</v>
      </c>
      <c r="AL112" s="536">
        <v>151.66</v>
      </c>
      <c r="AM112" s="529">
        <v>212.33</v>
      </c>
      <c r="AN112" s="253"/>
      <c r="AO112" s="535">
        <v>104</v>
      </c>
      <c r="AP112" s="536">
        <v>154.34</v>
      </c>
      <c r="AQ112" s="529">
        <v>216.07</v>
      </c>
      <c r="AR112" s="253"/>
      <c r="AS112" s="535">
        <v>104</v>
      </c>
      <c r="AT112" s="536">
        <v>157.01</v>
      </c>
      <c r="AU112" s="529">
        <v>219.81</v>
      </c>
      <c r="AV112" s="253"/>
      <c r="AW112" s="535">
        <v>104</v>
      </c>
      <c r="AX112" s="536">
        <v>159.68</v>
      </c>
      <c r="AY112" s="529">
        <v>223.55</v>
      </c>
      <c r="AZ112" s="253"/>
      <c r="BA112" s="535">
        <v>104</v>
      </c>
      <c r="BB112" s="536">
        <v>162.35</v>
      </c>
      <c r="BC112" s="529">
        <v>227.3</v>
      </c>
      <c r="BD112" s="253"/>
      <c r="BE112" s="535">
        <v>104</v>
      </c>
      <c r="BF112" s="536">
        <v>165.03</v>
      </c>
      <c r="BG112" s="529">
        <v>231.04</v>
      </c>
      <c r="BH112" s="253"/>
      <c r="BI112" s="535">
        <v>104</v>
      </c>
      <c r="BJ112" s="536">
        <v>167.7</v>
      </c>
      <c r="BK112" s="529">
        <v>234.78</v>
      </c>
      <c r="BL112" s="253"/>
    </row>
    <row r="113" spans="1:64" ht="23.25">
      <c r="A113" s="269">
        <v>105</v>
      </c>
      <c r="B113" s="1437">
        <f t="shared" si="2"/>
        <v>142.36000000000001</v>
      </c>
      <c r="C113" s="1438">
        <f t="shared" si="3"/>
        <v>199.3</v>
      </c>
      <c r="D113" s="279"/>
      <c r="E113" s="1420">
        <v>105</v>
      </c>
      <c r="F113" s="1421">
        <v>131.56</v>
      </c>
      <c r="G113" s="1414">
        <v>184.19</v>
      </c>
      <c r="H113" s="1404"/>
      <c r="I113" s="1420">
        <v>105</v>
      </c>
      <c r="J113" s="1421">
        <v>134.26</v>
      </c>
      <c r="K113" s="1414">
        <v>187.97</v>
      </c>
      <c r="L113" s="279"/>
      <c r="M113" s="535">
        <v>105</v>
      </c>
      <c r="N113" s="569">
        <v>136.96</v>
      </c>
      <c r="O113" s="569">
        <v>191.75</v>
      </c>
      <c r="P113" s="253"/>
      <c r="Q113" s="535">
        <v>105</v>
      </c>
      <c r="R113" s="569">
        <v>139.66</v>
      </c>
      <c r="S113" s="569">
        <v>195.52</v>
      </c>
      <c r="T113" s="253"/>
      <c r="U113" s="535">
        <v>105</v>
      </c>
      <c r="V113" s="569">
        <v>142.36000000000001</v>
      </c>
      <c r="W113" s="569">
        <v>199.3</v>
      </c>
      <c r="X113" s="253"/>
      <c r="Y113" s="535">
        <v>105</v>
      </c>
      <c r="Z113" s="536">
        <v>145.06</v>
      </c>
      <c r="AA113" s="529">
        <v>203.08</v>
      </c>
      <c r="AB113" s="253"/>
      <c r="AC113" s="535">
        <v>105</v>
      </c>
      <c r="AD113" s="536">
        <v>147.76</v>
      </c>
      <c r="AE113" s="529">
        <v>206.86</v>
      </c>
      <c r="AF113" s="253"/>
      <c r="AG113" s="535">
        <v>105</v>
      </c>
      <c r="AH113" s="536">
        <v>150.44999999999999</v>
      </c>
      <c r="AI113" s="529">
        <v>210.63</v>
      </c>
      <c r="AJ113" s="253"/>
      <c r="AK113" s="535">
        <v>105</v>
      </c>
      <c r="AL113" s="536">
        <v>153.15</v>
      </c>
      <c r="AM113" s="529">
        <v>214.41</v>
      </c>
      <c r="AN113" s="253"/>
      <c r="AO113" s="535">
        <v>105</v>
      </c>
      <c r="AP113" s="536">
        <v>155.85</v>
      </c>
      <c r="AQ113" s="529">
        <v>218.19</v>
      </c>
      <c r="AR113" s="253"/>
      <c r="AS113" s="535">
        <v>105</v>
      </c>
      <c r="AT113" s="536">
        <v>185.55</v>
      </c>
      <c r="AU113" s="529">
        <v>221.97</v>
      </c>
      <c r="AV113" s="253"/>
      <c r="AW113" s="535">
        <v>105</v>
      </c>
      <c r="AX113" s="536">
        <v>161.25</v>
      </c>
      <c r="AY113" s="529">
        <v>225.75</v>
      </c>
      <c r="AZ113" s="253"/>
      <c r="BA113" s="535">
        <v>105</v>
      </c>
      <c r="BB113" s="536">
        <v>163.95</v>
      </c>
      <c r="BC113" s="529">
        <v>229.52</v>
      </c>
      <c r="BD113" s="253"/>
      <c r="BE113" s="535">
        <v>105</v>
      </c>
      <c r="BF113" s="536">
        <v>166.64</v>
      </c>
      <c r="BG113" s="529">
        <v>233.3</v>
      </c>
      <c r="BH113" s="253"/>
      <c r="BI113" s="535">
        <v>105</v>
      </c>
      <c r="BJ113" s="536">
        <v>169.34</v>
      </c>
      <c r="BK113" s="529">
        <v>237.08</v>
      </c>
      <c r="BL113" s="253"/>
    </row>
    <row r="114" spans="1:64" ht="23.25">
      <c r="A114" s="269">
        <v>106</v>
      </c>
      <c r="B114" s="1437">
        <f t="shared" si="2"/>
        <v>143.69999999999999</v>
      </c>
      <c r="C114" s="1438">
        <f t="shared" si="3"/>
        <v>201.17</v>
      </c>
      <c r="D114" s="279"/>
      <c r="E114" s="1420">
        <v>106</v>
      </c>
      <c r="F114" s="1421">
        <v>132.80000000000001</v>
      </c>
      <c r="G114" s="1414">
        <v>185.92</v>
      </c>
      <c r="H114" s="1404"/>
      <c r="I114" s="1420">
        <v>106</v>
      </c>
      <c r="J114" s="1421">
        <v>135.52000000000001</v>
      </c>
      <c r="K114" s="1414">
        <v>189.73</v>
      </c>
      <c r="L114" s="279"/>
      <c r="M114" s="535">
        <v>106</v>
      </c>
      <c r="N114" s="569">
        <v>138.25</v>
      </c>
      <c r="O114" s="569">
        <v>193.55</v>
      </c>
      <c r="P114" s="253"/>
      <c r="Q114" s="535">
        <v>106</v>
      </c>
      <c r="R114" s="569">
        <v>140.97</v>
      </c>
      <c r="S114" s="569">
        <v>197.36</v>
      </c>
      <c r="T114" s="253"/>
      <c r="U114" s="535">
        <v>106</v>
      </c>
      <c r="V114" s="569">
        <v>143.69999999999999</v>
      </c>
      <c r="W114" s="569">
        <v>201.17</v>
      </c>
      <c r="X114" s="253"/>
      <c r="Y114" s="535">
        <v>106</v>
      </c>
      <c r="Z114" s="536">
        <v>146.41999999999999</v>
      </c>
      <c r="AA114" s="529">
        <v>204.99</v>
      </c>
      <c r="AB114" s="253"/>
      <c r="AC114" s="535">
        <v>106</v>
      </c>
      <c r="AD114" s="536">
        <v>149.13999999999999</v>
      </c>
      <c r="AE114" s="529">
        <v>208.8</v>
      </c>
      <c r="AF114" s="253"/>
      <c r="AG114" s="535">
        <v>106</v>
      </c>
      <c r="AH114" s="536">
        <v>151.87</v>
      </c>
      <c r="AI114" s="529">
        <v>212.62</v>
      </c>
      <c r="AJ114" s="253"/>
      <c r="AK114" s="535">
        <v>106</v>
      </c>
      <c r="AL114" s="536">
        <v>154.59</v>
      </c>
      <c r="AM114" s="529">
        <v>216.43</v>
      </c>
      <c r="AN114" s="253"/>
      <c r="AO114" s="535">
        <v>106</v>
      </c>
      <c r="AP114" s="536">
        <v>157.32</v>
      </c>
      <c r="AQ114" s="529">
        <v>220.24</v>
      </c>
      <c r="AR114" s="253"/>
      <c r="AS114" s="535">
        <v>106</v>
      </c>
      <c r="AT114" s="536">
        <v>160.04</v>
      </c>
      <c r="AU114" s="529">
        <v>224.06</v>
      </c>
      <c r="AV114" s="253"/>
      <c r="AW114" s="535">
        <v>106</v>
      </c>
      <c r="AX114" s="536">
        <v>162.77000000000001</v>
      </c>
      <c r="AY114" s="529">
        <v>227.87</v>
      </c>
      <c r="AZ114" s="253"/>
      <c r="BA114" s="535">
        <v>106</v>
      </c>
      <c r="BB114" s="536">
        <v>165.49</v>
      </c>
      <c r="BC114" s="529">
        <v>231.69</v>
      </c>
      <c r="BD114" s="253"/>
      <c r="BE114" s="535">
        <v>106</v>
      </c>
      <c r="BF114" s="536">
        <v>168.21</v>
      </c>
      <c r="BG114" s="529">
        <v>235.5</v>
      </c>
      <c r="BH114" s="253"/>
      <c r="BI114" s="535">
        <v>106</v>
      </c>
      <c r="BJ114" s="536">
        <v>170.94</v>
      </c>
      <c r="BK114" s="529">
        <v>239.31</v>
      </c>
      <c r="BL114" s="253"/>
    </row>
    <row r="115" spans="1:64" ht="23.25">
      <c r="A115" s="269">
        <v>107</v>
      </c>
      <c r="B115" s="1437">
        <f t="shared" si="2"/>
        <v>145.04</v>
      </c>
      <c r="C115" s="1438">
        <f t="shared" si="3"/>
        <v>203.05</v>
      </c>
      <c r="D115" s="279"/>
      <c r="E115" s="1420">
        <v>107</v>
      </c>
      <c r="F115" s="1421">
        <v>134.04</v>
      </c>
      <c r="G115" s="1414">
        <v>187.65</v>
      </c>
      <c r="H115" s="1404"/>
      <c r="I115" s="1420">
        <v>107</v>
      </c>
      <c r="J115" s="1421">
        <v>136.79</v>
      </c>
      <c r="K115" s="1414">
        <v>191.5</v>
      </c>
      <c r="L115" s="279"/>
      <c r="M115" s="535">
        <v>107</v>
      </c>
      <c r="N115" s="569">
        <v>139.54</v>
      </c>
      <c r="O115" s="569">
        <v>195.35</v>
      </c>
      <c r="P115" s="253"/>
      <c r="Q115" s="535">
        <v>107</v>
      </c>
      <c r="R115" s="569">
        <v>142.29</v>
      </c>
      <c r="S115" s="569">
        <v>199.2</v>
      </c>
      <c r="T115" s="253"/>
      <c r="U115" s="535">
        <v>107</v>
      </c>
      <c r="V115" s="569">
        <v>145.04</v>
      </c>
      <c r="W115" s="569">
        <v>203.05</v>
      </c>
      <c r="X115" s="253"/>
      <c r="Y115" s="535">
        <v>107</v>
      </c>
      <c r="Z115" s="536">
        <v>147.79</v>
      </c>
      <c r="AA115" s="529">
        <v>206.9</v>
      </c>
      <c r="AB115" s="253"/>
      <c r="AC115" s="535">
        <v>107</v>
      </c>
      <c r="AD115" s="536">
        <v>150.54</v>
      </c>
      <c r="AE115" s="529">
        <v>210.75</v>
      </c>
      <c r="AF115" s="253"/>
      <c r="AG115" s="535">
        <v>107</v>
      </c>
      <c r="AH115" s="536">
        <v>153.29</v>
      </c>
      <c r="AI115" s="529">
        <v>214.6</v>
      </c>
      <c r="AJ115" s="253"/>
      <c r="AK115" s="535">
        <v>107</v>
      </c>
      <c r="AL115" s="536">
        <v>156.04</v>
      </c>
      <c r="AM115" s="529">
        <v>218.45</v>
      </c>
      <c r="AN115" s="253"/>
      <c r="AO115" s="535">
        <v>107</v>
      </c>
      <c r="AP115" s="536">
        <v>158.79</v>
      </c>
      <c r="AQ115" s="529">
        <v>222.3</v>
      </c>
      <c r="AR115" s="253"/>
      <c r="AS115" s="535">
        <v>107</v>
      </c>
      <c r="AT115" s="536">
        <v>161.54</v>
      </c>
      <c r="AU115" s="529">
        <v>226.15</v>
      </c>
      <c r="AV115" s="253"/>
      <c r="AW115" s="535">
        <v>107</v>
      </c>
      <c r="AX115" s="536">
        <v>164.29</v>
      </c>
      <c r="AY115" s="529">
        <v>230</v>
      </c>
      <c r="AZ115" s="253"/>
      <c r="BA115" s="535">
        <v>107</v>
      </c>
      <c r="BB115" s="536">
        <v>167.04</v>
      </c>
      <c r="BC115" s="529">
        <v>233.85</v>
      </c>
      <c r="BD115" s="253"/>
      <c r="BE115" s="535">
        <v>107</v>
      </c>
      <c r="BF115" s="536">
        <v>169.79</v>
      </c>
      <c r="BG115" s="529">
        <v>237.7</v>
      </c>
      <c r="BH115" s="253"/>
      <c r="BI115" s="535">
        <v>107</v>
      </c>
      <c r="BJ115" s="536">
        <v>172.54</v>
      </c>
      <c r="BK115" s="529">
        <v>241.55</v>
      </c>
      <c r="BL115" s="253"/>
    </row>
    <row r="116" spans="1:64" ht="23.25">
      <c r="A116" s="269">
        <v>108</v>
      </c>
      <c r="B116" s="1437">
        <f t="shared" si="2"/>
        <v>146.38</v>
      </c>
      <c r="C116" s="1438">
        <f t="shared" si="3"/>
        <v>204.93</v>
      </c>
      <c r="D116" s="279"/>
      <c r="E116" s="1420">
        <v>108</v>
      </c>
      <c r="F116" s="1421">
        <v>135.28</v>
      </c>
      <c r="G116" s="1414">
        <v>189.39</v>
      </c>
      <c r="H116" s="1404"/>
      <c r="I116" s="1420">
        <v>108</v>
      </c>
      <c r="J116" s="1421">
        <v>138.05000000000001</v>
      </c>
      <c r="K116" s="1414">
        <v>193.27</v>
      </c>
      <c r="L116" s="279"/>
      <c r="M116" s="535">
        <v>108</v>
      </c>
      <c r="N116" s="569">
        <v>140.83000000000001</v>
      </c>
      <c r="O116" s="569">
        <v>197.16</v>
      </c>
      <c r="P116" s="253"/>
      <c r="Q116" s="535">
        <v>108</v>
      </c>
      <c r="R116" s="569">
        <v>143.6</v>
      </c>
      <c r="S116" s="569">
        <v>201.04</v>
      </c>
      <c r="T116" s="253"/>
      <c r="U116" s="535">
        <v>108</v>
      </c>
      <c r="V116" s="569">
        <v>146.38</v>
      </c>
      <c r="W116" s="569">
        <v>204.93</v>
      </c>
      <c r="X116" s="253"/>
      <c r="Y116" s="535">
        <v>108</v>
      </c>
      <c r="Z116" s="536">
        <v>149.15</v>
      </c>
      <c r="AA116" s="529">
        <v>208.82</v>
      </c>
      <c r="AB116" s="253"/>
      <c r="AC116" s="535">
        <v>108</v>
      </c>
      <c r="AD116" s="536">
        <v>151.93</v>
      </c>
      <c r="AE116" s="529">
        <v>212.7</v>
      </c>
      <c r="AF116" s="253"/>
      <c r="AG116" s="535">
        <v>108</v>
      </c>
      <c r="AH116" s="536">
        <v>154.69999999999999</v>
      </c>
      <c r="AI116" s="529">
        <v>216.59</v>
      </c>
      <c r="AJ116" s="253"/>
      <c r="AK116" s="535">
        <v>108</v>
      </c>
      <c r="AL116" s="536">
        <v>157.47999999999999</v>
      </c>
      <c r="AM116" s="529">
        <v>220.47</v>
      </c>
      <c r="AN116" s="253"/>
      <c r="AO116" s="535">
        <v>108</v>
      </c>
      <c r="AP116" s="536">
        <v>160.26</v>
      </c>
      <c r="AQ116" s="529">
        <v>224.36</v>
      </c>
      <c r="AR116" s="253"/>
      <c r="AS116" s="535">
        <v>108</v>
      </c>
      <c r="AT116" s="536">
        <v>163.03</v>
      </c>
      <c r="AU116" s="529">
        <v>228.24</v>
      </c>
      <c r="AV116" s="253"/>
      <c r="AW116" s="535">
        <v>108</v>
      </c>
      <c r="AX116" s="536">
        <v>165.81</v>
      </c>
      <c r="AY116" s="529">
        <v>232.13</v>
      </c>
      <c r="AZ116" s="253"/>
      <c r="BA116" s="535">
        <v>108</v>
      </c>
      <c r="BB116" s="536">
        <v>168.58</v>
      </c>
      <c r="BC116" s="529">
        <v>236.02</v>
      </c>
      <c r="BD116" s="253"/>
      <c r="BE116" s="535">
        <v>108</v>
      </c>
      <c r="BF116" s="536">
        <v>171.36</v>
      </c>
      <c r="BG116" s="529">
        <v>239.9</v>
      </c>
      <c r="BH116" s="253"/>
      <c r="BI116" s="535">
        <v>108</v>
      </c>
      <c r="BJ116" s="536">
        <v>174.13</v>
      </c>
      <c r="BK116" s="529">
        <v>243.79</v>
      </c>
      <c r="BL116" s="253"/>
    </row>
    <row r="117" spans="1:64" ht="23.25">
      <c r="A117" s="269">
        <v>109</v>
      </c>
      <c r="B117" s="1437">
        <f t="shared" si="2"/>
        <v>147.72</v>
      </c>
      <c r="C117" s="1438">
        <f t="shared" si="3"/>
        <v>206.81</v>
      </c>
      <c r="D117" s="279"/>
      <c r="E117" s="1420">
        <v>109</v>
      </c>
      <c r="F117" s="1421">
        <v>136.52000000000001</v>
      </c>
      <c r="G117" s="1414">
        <v>191.12</v>
      </c>
      <c r="H117" s="1404"/>
      <c r="I117" s="1420">
        <v>109</v>
      </c>
      <c r="J117" s="1421">
        <v>139.32</v>
      </c>
      <c r="K117" s="1414">
        <v>195.04</v>
      </c>
      <c r="L117" s="279"/>
      <c r="M117" s="535">
        <v>109</v>
      </c>
      <c r="N117" s="569">
        <v>142.12</v>
      </c>
      <c r="O117" s="569">
        <v>198.97</v>
      </c>
      <c r="P117" s="253"/>
      <c r="Q117" s="535">
        <v>109</v>
      </c>
      <c r="R117" s="569">
        <v>144.91999999999999</v>
      </c>
      <c r="S117" s="569">
        <v>202.89</v>
      </c>
      <c r="T117" s="253"/>
      <c r="U117" s="535">
        <v>109</v>
      </c>
      <c r="V117" s="569">
        <v>147.72</v>
      </c>
      <c r="W117" s="569">
        <v>206.81</v>
      </c>
      <c r="X117" s="253"/>
      <c r="Y117" s="535">
        <v>109</v>
      </c>
      <c r="Z117" s="536">
        <v>150.52000000000001</v>
      </c>
      <c r="AA117" s="529">
        <v>210.73</v>
      </c>
      <c r="AB117" s="253"/>
      <c r="AC117" s="535">
        <v>109</v>
      </c>
      <c r="AD117" s="536">
        <v>153.32</v>
      </c>
      <c r="AE117" s="529">
        <v>214.65</v>
      </c>
      <c r="AF117" s="253"/>
      <c r="AG117" s="535">
        <v>109</v>
      </c>
      <c r="AH117" s="536">
        <v>156.13</v>
      </c>
      <c r="AI117" s="529">
        <v>218.58</v>
      </c>
      <c r="AJ117" s="253"/>
      <c r="AK117" s="535">
        <v>109</v>
      </c>
      <c r="AL117" s="536">
        <v>158.93</v>
      </c>
      <c r="AM117" s="529">
        <v>222.5</v>
      </c>
      <c r="AN117" s="253"/>
      <c r="AO117" s="535">
        <v>109</v>
      </c>
      <c r="AP117" s="536">
        <v>161.72999999999999</v>
      </c>
      <c r="AQ117" s="529">
        <v>226.42</v>
      </c>
      <c r="AR117" s="253"/>
      <c r="AS117" s="535">
        <v>109</v>
      </c>
      <c r="AT117" s="536">
        <v>164.53</v>
      </c>
      <c r="AU117" s="529">
        <v>230.34</v>
      </c>
      <c r="AV117" s="253"/>
      <c r="AW117" s="535">
        <v>109</v>
      </c>
      <c r="AX117" s="536">
        <v>167.33</v>
      </c>
      <c r="AY117" s="529">
        <v>234.26</v>
      </c>
      <c r="AZ117" s="253"/>
      <c r="BA117" s="535">
        <v>109</v>
      </c>
      <c r="BB117" s="536">
        <v>170.13</v>
      </c>
      <c r="BC117" s="529">
        <v>238.18</v>
      </c>
      <c r="BD117" s="253"/>
      <c r="BE117" s="535">
        <v>109</v>
      </c>
      <c r="BF117" s="536">
        <v>172.93</v>
      </c>
      <c r="BG117" s="529">
        <v>242.11</v>
      </c>
      <c r="BH117" s="253"/>
      <c r="BI117" s="535">
        <v>109</v>
      </c>
      <c r="BJ117" s="536">
        <v>175.73</v>
      </c>
      <c r="BK117" s="529">
        <v>246.03</v>
      </c>
      <c r="BL117" s="253"/>
    </row>
    <row r="118" spans="1:64" ht="23.25">
      <c r="A118" s="269">
        <v>110</v>
      </c>
      <c r="B118" s="1437">
        <f t="shared" si="2"/>
        <v>149.07</v>
      </c>
      <c r="C118" s="1438">
        <f t="shared" si="3"/>
        <v>208.69</v>
      </c>
      <c r="D118" s="279"/>
      <c r="E118" s="1420">
        <v>110</v>
      </c>
      <c r="F118" s="1421">
        <v>137.76</v>
      </c>
      <c r="G118" s="1414">
        <v>192.86</v>
      </c>
      <c r="H118" s="1404"/>
      <c r="I118" s="1420">
        <v>110</v>
      </c>
      <c r="J118" s="1421">
        <v>140.59</v>
      </c>
      <c r="K118" s="1414">
        <v>196.82</v>
      </c>
      <c r="L118" s="279"/>
      <c r="M118" s="535">
        <v>110</v>
      </c>
      <c r="N118" s="569">
        <v>143.41</v>
      </c>
      <c r="O118" s="569">
        <v>200.78</v>
      </c>
      <c r="P118" s="253"/>
      <c r="Q118" s="535">
        <v>110</v>
      </c>
      <c r="R118" s="569">
        <v>146.24</v>
      </c>
      <c r="S118" s="569">
        <v>204.74</v>
      </c>
      <c r="T118" s="253"/>
      <c r="U118" s="535">
        <v>110</v>
      </c>
      <c r="V118" s="569">
        <v>149.07</v>
      </c>
      <c r="W118" s="569">
        <v>208.69</v>
      </c>
      <c r="X118" s="253"/>
      <c r="Y118" s="535">
        <v>110</v>
      </c>
      <c r="Z118" s="536">
        <v>151.88999999999999</v>
      </c>
      <c r="AA118" s="529">
        <v>212.65</v>
      </c>
      <c r="AB118" s="253"/>
      <c r="AC118" s="535">
        <v>110</v>
      </c>
      <c r="AD118" s="536">
        <v>154.72</v>
      </c>
      <c r="AE118" s="529">
        <v>216.61</v>
      </c>
      <c r="AF118" s="253"/>
      <c r="AG118" s="535">
        <v>110</v>
      </c>
      <c r="AH118" s="536">
        <v>157.55000000000001</v>
      </c>
      <c r="AI118" s="529">
        <v>220.57</v>
      </c>
      <c r="AJ118" s="253"/>
      <c r="AK118" s="535">
        <v>110</v>
      </c>
      <c r="AL118" s="536">
        <v>160.37</v>
      </c>
      <c r="AM118" s="529">
        <v>224.52</v>
      </c>
      <c r="AN118" s="253"/>
      <c r="AO118" s="535">
        <v>110</v>
      </c>
      <c r="AP118" s="536">
        <v>163.19999999999999</v>
      </c>
      <c r="AQ118" s="529">
        <v>228.48</v>
      </c>
      <c r="AR118" s="253"/>
      <c r="AS118" s="535">
        <v>110</v>
      </c>
      <c r="AT118" s="536">
        <v>166.03</v>
      </c>
      <c r="AU118" s="529">
        <v>232.44</v>
      </c>
      <c r="AV118" s="253"/>
      <c r="AW118" s="535">
        <v>110</v>
      </c>
      <c r="AX118" s="536">
        <v>168.86</v>
      </c>
      <c r="AY118" s="529">
        <v>236.4</v>
      </c>
      <c r="AZ118" s="253"/>
      <c r="BA118" s="535">
        <v>110</v>
      </c>
      <c r="BB118" s="536">
        <v>171.68</v>
      </c>
      <c r="BC118" s="529">
        <v>240.36</v>
      </c>
      <c r="BD118" s="253"/>
      <c r="BE118" s="535">
        <v>110</v>
      </c>
      <c r="BF118" s="536">
        <v>174.51</v>
      </c>
      <c r="BG118" s="529">
        <v>244.31</v>
      </c>
      <c r="BH118" s="253"/>
      <c r="BI118" s="535">
        <v>110</v>
      </c>
      <c r="BJ118" s="536">
        <v>177.34</v>
      </c>
      <c r="BK118" s="529">
        <v>248.27</v>
      </c>
      <c r="BL118" s="253"/>
    </row>
    <row r="119" spans="1:64" ht="23.25">
      <c r="A119" s="269">
        <v>111</v>
      </c>
      <c r="B119" s="1437">
        <f t="shared" si="2"/>
        <v>150.41</v>
      </c>
      <c r="C119" s="1438">
        <f t="shared" si="3"/>
        <v>210.58</v>
      </c>
      <c r="D119" s="279"/>
      <c r="E119" s="1420">
        <v>111</v>
      </c>
      <c r="F119" s="1421">
        <v>139</v>
      </c>
      <c r="G119" s="1414">
        <v>194.6</v>
      </c>
      <c r="H119" s="1404"/>
      <c r="I119" s="1420">
        <v>111</v>
      </c>
      <c r="J119" s="1421">
        <v>141.86000000000001</v>
      </c>
      <c r="K119" s="1414">
        <v>198.6</v>
      </c>
      <c r="L119" s="279"/>
      <c r="M119" s="535">
        <v>111</v>
      </c>
      <c r="N119" s="569">
        <v>144.71</v>
      </c>
      <c r="O119" s="569">
        <v>202.59</v>
      </c>
      <c r="P119" s="253"/>
      <c r="Q119" s="535">
        <v>111</v>
      </c>
      <c r="R119" s="569">
        <v>147.56</v>
      </c>
      <c r="S119" s="569">
        <v>206.59</v>
      </c>
      <c r="T119" s="253"/>
      <c r="U119" s="535">
        <v>111</v>
      </c>
      <c r="V119" s="569">
        <v>150.41</v>
      </c>
      <c r="W119" s="569">
        <v>210.58</v>
      </c>
      <c r="X119" s="253"/>
      <c r="Y119" s="535">
        <v>111</v>
      </c>
      <c r="Z119" s="536">
        <v>153.27000000000001</v>
      </c>
      <c r="AA119" s="529">
        <v>214.57</v>
      </c>
      <c r="AB119" s="253"/>
      <c r="AC119" s="535">
        <v>111</v>
      </c>
      <c r="AD119" s="536">
        <v>156.12</v>
      </c>
      <c r="AE119" s="529">
        <v>218.57</v>
      </c>
      <c r="AF119" s="253"/>
      <c r="AG119" s="535">
        <v>111</v>
      </c>
      <c r="AH119" s="536">
        <v>158.97</v>
      </c>
      <c r="AI119" s="529">
        <v>222.56</v>
      </c>
      <c r="AJ119" s="253"/>
      <c r="AK119" s="535">
        <v>111</v>
      </c>
      <c r="AL119" s="536">
        <v>161.82</v>
      </c>
      <c r="AM119" s="529">
        <v>226.55</v>
      </c>
      <c r="AN119" s="253"/>
      <c r="AO119" s="535">
        <v>111</v>
      </c>
      <c r="AP119" s="536">
        <v>164.68</v>
      </c>
      <c r="AQ119" s="529">
        <v>230.55</v>
      </c>
      <c r="AR119" s="253"/>
      <c r="AS119" s="535">
        <v>111</v>
      </c>
      <c r="AT119" s="536">
        <v>167.53</v>
      </c>
      <c r="AU119" s="529">
        <v>234.54</v>
      </c>
      <c r="AV119" s="253"/>
      <c r="AW119" s="535">
        <v>111</v>
      </c>
      <c r="AX119" s="536">
        <v>170.38</v>
      </c>
      <c r="AY119" s="529">
        <v>238.54</v>
      </c>
      <c r="AZ119" s="253"/>
      <c r="BA119" s="535">
        <v>111</v>
      </c>
      <c r="BB119" s="536">
        <v>173.24</v>
      </c>
      <c r="BC119" s="529">
        <v>242.53</v>
      </c>
      <c r="BD119" s="253"/>
      <c r="BE119" s="535">
        <v>111</v>
      </c>
      <c r="BF119" s="536">
        <v>176.09</v>
      </c>
      <c r="BG119" s="529">
        <v>246.52</v>
      </c>
      <c r="BH119" s="253"/>
      <c r="BI119" s="535">
        <v>111</v>
      </c>
      <c r="BJ119" s="536">
        <v>178.94</v>
      </c>
      <c r="BK119" s="529">
        <v>250.52</v>
      </c>
      <c r="BL119" s="253"/>
    </row>
    <row r="120" spans="1:64" ht="23.25">
      <c r="A120" s="269">
        <v>112</v>
      </c>
      <c r="B120" s="1437">
        <f t="shared" si="2"/>
        <v>151.76</v>
      </c>
      <c r="C120" s="1438">
        <f t="shared" si="3"/>
        <v>212.47</v>
      </c>
      <c r="D120" s="279"/>
      <c r="E120" s="1420">
        <v>112</v>
      </c>
      <c r="F120" s="1421">
        <v>140.25</v>
      </c>
      <c r="G120" s="1414">
        <v>196.35</v>
      </c>
      <c r="H120" s="1404"/>
      <c r="I120" s="1420">
        <v>112</v>
      </c>
      <c r="J120" s="1421">
        <v>143.13</v>
      </c>
      <c r="K120" s="1414">
        <v>200.38</v>
      </c>
      <c r="L120" s="279"/>
      <c r="M120" s="535">
        <v>112</v>
      </c>
      <c r="N120" s="569">
        <v>146.01</v>
      </c>
      <c r="O120" s="569">
        <v>204.41</v>
      </c>
      <c r="P120" s="253"/>
      <c r="Q120" s="535">
        <v>112</v>
      </c>
      <c r="R120" s="569">
        <v>148.88</v>
      </c>
      <c r="S120" s="569">
        <v>208.44</v>
      </c>
      <c r="T120" s="253"/>
      <c r="U120" s="535">
        <v>112</v>
      </c>
      <c r="V120" s="569">
        <v>151.76</v>
      </c>
      <c r="W120" s="569">
        <v>212.47</v>
      </c>
      <c r="X120" s="253"/>
      <c r="Y120" s="535">
        <v>112</v>
      </c>
      <c r="Z120" s="536">
        <v>154.63999999999999</v>
      </c>
      <c r="AA120" s="529">
        <v>216.5</v>
      </c>
      <c r="AB120" s="253"/>
      <c r="AC120" s="535">
        <v>112</v>
      </c>
      <c r="AD120" s="536">
        <v>157.52000000000001</v>
      </c>
      <c r="AE120" s="529">
        <v>220.53</v>
      </c>
      <c r="AF120" s="253"/>
      <c r="AG120" s="535">
        <v>112</v>
      </c>
      <c r="AH120" s="536">
        <v>160.4</v>
      </c>
      <c r="AI120" s="529">
        <v>224.56</v>
      </c>
      <c r="AJ120" s="253"/>
      <c r="AK120" s="535">
        <v>112</v>
      </c>
      <c r="AL120" s="536">
        <v>163.28</v>
      </c>
      <c r="AM120" s="529">
        <v>228.59</v>
      </c>
      <c r="AN120" s="253"/>
      <c r="AO120" s="535">
        <v>112</v>
      </c>
      <c r="AP120" s="536">
        <v>166.15</v>
      </c>
      <c r="AQ120" s="529">
        <v>232.62</v>
      </c>
      <c r="AR120" s="253"/>
      <c r="AS120" s="535">
        <v>112</v>
      </c>
      <c r="AT120" s="536">
        <v>169.03</v>
      </c>
      <c r="AU120" s="529">
        <v>236.65</v>
      </c>
      <c r="AV120" s="253"/>
      <c r="AW120" s="535">
        <v>112</v>
      </c>
      <c r="AX120" s="536">
        <v>171.91</v>
      </c>
      <c r="AY120" s="529">
        <v>240.68</v>
      </c>
      <c r="AZ120" s="253"/>
      <c r="BA120" s="535">
        <v>112</v>
      </c>
      <c r="BB120" s="536">
        <v>174.79</v>
      </c>
      <c r="BC120" s="529">
        <v>244.71</v>
      </c>
      <c r="BD120" s="253"/>
      <c r="BE120" s="535">
        <v>112</v>
      </c>
      <c r="BF120" s="536">
        <v>177.67</v>
      </c>
      <c r="BG120" s="529">
        <v>248.74</v>
      </c>
      <c r="BH120" s="253"/>
      <c r="BI120" s="535">
        <v>112</v>
      </c>
      <c r="BJ120" s="536">
        <v>180.55</v>
      </c>
      <c r="BK120" s="529">
        <v>252.77</v>
      </c>
      <c r="BL120" s="253"/>
    </row>
    <row r="121" spans="1:64" ht="23.25">
      <c r="A121" s="269">
        <v>113</v>
      </c>
      <c r="B121" s="1437">
        <f t="shared" si="2"/>
        <v>153.11000000000001</v>
      </c>
      <c r="C121" s="1438">
        <f t="shared" si="3"/>
        <v>214.36</v>
      </c>
      <c r="D121" s="279"/>
      <c r="E121" s="1420">
        <v>113</v>
      </c>
      <c r="F121" s="1421">
        <v>141.5</v>
      </c>
      <c r="G121" s="1414">
        <v>198.1</v>
      </c>
      <c r="H121" s="1404"/>
      <c r="I121" s="1420">
        <v>113</v>
      </c>
      <c r="J121" s="1421">
        <v>144.4</v>
      </c>
      <c r="K121" s="1414">
        <v>202.16</v>
      </c>
      <c r="L121" s="279"/>
      <c r="M121" s="535">
        <v>113</v>
      </c>
      <c r="N121" s="569">
        <v>147.31</v>
      </c>
      <c r="O121" s="569">
        <v>206.23</v>
      </c>
      <c r="P121" s="253"/>
      <c r="Q121" s="535">
        <v>113</v>
      </c>
      <c r="R121" s="569">
        <v>150.21</v>
      </c>
      <c r="S121" s="569">
        <v>210.29</v>
      </c>
      <c r="T121" s="253"/>
      <c r="U121" s="535">
        <v>113</v>
      </c>
      <c r="V121" s="569">
        <v>153.11000000000001</v>
      </c>
      <c r="W121" s="569">
        <v>214.36</v>
      </c>
      <c r="X121" s="253"/>
      <c r="Y121" s="535">
        <v>113</v>
      </c>
      <c r="Z121" s="536">
        <v>156.02000000000001</v>
      </c>
      <c r="AA121" s="529">
        <v>218.42</v>
      </c>
      <c r="AB121" s="253"/>
      <c r="AC121" s="535">
        <v>113</v>
      </c>
      <c r="AD121" s="536">
        <v>158.91999999999999</v>
      </c>
      <c r="AE121" s="529">
        <v>222.49</v>
      </c>
      <c r="AF121" s="253"/>
      <c r="AG121" s="535">
        <v>113</v>
      </c>
      <c r="AH121" s="536">
        <v>161.83000000000001</v>
      </c>
      <c r="AI121" s="529">
        <v>226.56</v>
      </c>
      <c r="AJ121" s="253"/>
      <c r="AK121" s="535">
        <v>113</v>
      </c>
      <c r="AL121" s="536">
        <v>164.73</v>
      </c>
      <c r="AM121" s="529">
        <v>230.62</v>
      </c>
      <c r="AN121" s="253"/>
      <c r="AO121" s="535">
        <v>113</v>
      </c>
      <c r="AP121" s="536">
        <v>167.63</v>
      </c>
      <c r="AQ121" s="529">
        <v>234.69</v>
      </c>
      <c r="AR121" s="253"/>
      <c r="AS121" s="535">
        <v>113</v>
      </c>
      <c r="AT121" s="536">
        <v>170.54</v>
      </c>
      <c r="AU121" s="529">
        <v>238.75</v>
      </c>
      <c r="AV121" s="253"/>
      <c r="AW121" s="535">
        <v>113</v>
      </c>
      <c r="AX121" s="536">
        <v>173.44</v>
      </c>
      <c r="AY121" s="529">
        <v>242.82</v>
      </c>
      <c r="AZ121" s="253"/>
      <c r="BA121" s="535">
        <v>113</v>
      </c>
      <c r="BB121" s="536">
        <v>176.35</v>
      </c>
      <c r="BC121" s="529">
        <v>246.89</v>
      </c>
      <c r="BD121" s="253"/>
      <c r="BE121" s="535">
        <v>113</v>
      </c>
      <c r="BF121" s="536">
        <v>179.25</v>
      </c>
      <c r="BG121" s="529">
        <v>250.95</v>
      </c>
      <c r="BH121" s="253"/>
      <c r="BI121" s="535">
        <v>113</v>
      </c>
      <c r="BJ121" s="536">
        <v>182.15</v>
      </c>
      <c r="BK121" s="529">
        <v>255.02</v>
      </c>
      <c r="BL121" s="253"/>
    </row>
    <row r="122" spans="1:64" ht="23.25">
      <c r="A122" s="269">
        <v>114</v>
      </c>
      <c r="B122" s="1437">
        <f t="shared" si="2"/>
        <v>154.47</v>
      </c>
      <c r="C122" s="1438">
        <f t="shared" si="3"/>
        <v>216.25</v>
      </c>
      <c r="D122" s="279"/>
      <c r="E122" s="1420">
        <v>114</v>
      </c>
      <c r="F122" s="1421">
        <v>142.75</v>
      </c>
      <c r="G122" s="1414">
        <v>199.85</v>
      </c>
      <c r="H122" s="1404"/>
      <c r="I122" s="1420">
        <v>114</v>
      </c>
      <c r="J122" s="1421">
        <v>145.68</v>
      </c>
      <c r="K122" s="1414">
        <v>203.95</v>
      </c>
      <c r="L122" s="279"/>
      <c r="M122" s="535">
        <v>114</v>
      </c>
      <c r="N122" s="569">
        <v>148.61000000000001</v>
      </c>
      <c r="O122" s="569">
        <v>208.05</v>
      </c>
      <c r="P122" s="253"/>
      <c r="Q122" s="535">
        <v>114</v>
      </c>
      <c r="R122" s="569">
        <v>151.54</v>
      </c>
      <c r="S122" s="569">
        <v>212.15</v>
      </c>
      <c r="T122" s="253"/>
      <c r="U122" s="535">
        <v>114</v>
      </c>
      <c r="V122" s="569">
        <v>154.47</v>
      </c>
      <c r="W122" s="569">
        <v>216.25</v>
      </c>
      <c r="X122" s="253"/>
      <c r="Y122" s="535">
        <v>114</v>
      </c>
      <c r="Z122" s="536">
        <v>157.4</v>
      </c>
      <c r="AA122" s="529">
        <v>220.35</v>
      </c>
      <c r="AB122" s="253"/>
      <c r="AC122" s="535">
        <v>114</v>
      </c>
      <c r="AD122" s="536">
        <v>160.33000000000001</v>
      </c>
      <c r="AE122" s="529">
        <v>224.46</v>
      </c>
      <c r="AF122" s="253"/>
      <c r="AG122" s="535">
        <v>114</v>
      </c>
      <c r="AH122" s="536">
        <v>163.26</v>
      </c>
      <c r="AI122" s="529">
        <v>228.56</v>
      </c>
      <c r="AJ122" s="253"/>
      <c r="AK122" s="535">
        <v>114</v>
      </c>
      <c r="AL122" s="536">
        <v>166.19</v>
      </c>
      <c r="AM122" s="529">
        <v>232.66</v>
      </c>
      <c r="AN122" s="253"/>
      <c r="AO122" s="535">
        <v>114</v>
      </c>
      <c r="AP122" s="536">
        <v>169.12</v>
      </c>
      <c r="AQ122" s="529">
        <v>236.76</v>
      </c>
      <c r="AR122" s="253"/>
      <c r="AS122" s="535">
        <v>114</v>
      </c>
      <c r="AT122" s="536">
        <v>172.05</v>
      </c>
      <c r="AU122" s="529">
        <v>240.86</v>
      </c>
      <c r="AV122" s="253"/>
      <c r="AW122" s="535">
        <v>114</v>
      </c>
      <c r="AX122" s="536">
        <v>174.98</v>
      </c>
      <c r="AY122" s="529">
        <v>244.97</v>
      </c>
      <c r="AZ122" s="253"/>
      <c r="BA122" s="535">
        <v>114</v>
      </c>
      <c r="BB122" s="536">
        <v>177.91</v>
      </c>
      <c r="BC122" s="529">
        <v>249.07</v>
      </c>
      <c r="BD122" s="253"/>
      <c r="BE122" s="535">
        <v>114</v>
      </c>
      <c r="BF122" s="536">
        <v>180.83</v>
      </c>
      <c r="BG122" s="529">
        <v>253.17</v>
      </c>
      <c r="BH122" s="253"/>
      <c r="BI122" s="535">
        <v>114</v>
      </c>
      <c r="BJ122" s="536">
        <v>183.76</v>
      </c>
      <c r="BK122" s="529">
        <v>257.27</v>
      </c>
      <c r="BL122" s="253"/>
    </row>
    <row r="123" spans="1:64" ht="23.25">
      <c r="A123" s="269">
        <v>115</v>
      </c>
      <c r="B123" s="1437">
        <f t="shared" si="2"/>
        <v>155.82</v>
      </c>
      <c r="C123" s="1438">
        <f t="shared" si="3"/>
        <v>218.15</v>
      </c>
      <c r="D123" s="279"/>
      <c r="E123" s="1420">
        <v>115</v>
      </c>
      <c r="F123" s="1421">
        <v>144</v>
      </c>
      <c r="G123" s="1414">
        <v>201.6</v>
      </c>
      <c r="H123" s="1404"/>
      <c r="I123" s="1420">
        <v>115</v>
      </c>
      <c r="J123" s="1421">
        <v>146.96</v>
      </c>
      <c r="K123" s="1414">
        <v>205.74</v>
      </c>
      <c r="L123" s="279"/>
      <c r="M123" s="535">
        <v>115</v>
      </c>
      <c r="N123" s="569">
        <v>149.91</v>
      </c>
      <c r="O123" s="569">
        <v>209.87</v>
      </c>
      <c r="P123" s="253"/>
      <c r="Q123" s="535">
        <v>115</v>
      </c>
      <c r="R123" s="569">
        <v>152.87</v>
      </c>
      <c r="S123" s="569">
        <v>214.01</v>
      </c>
      <c r="T123" s="253"/>
      <c r="U123" s="535">
        <v>115</v>
      </c>
      <c r="V123" s="569">
        <v>155.82</v>
      </c>
      <c r="W123" s="569">
        <v>218.15</v>
      </c>
      <c r="X123" s="253"/>
      <c r="Y123" s="535">
        <v>115</v>
      </c>
      <c r="Z123" s="536">
        <v>158.78</v>
      </c>
      <c r="AA123" s="529">
        <v>222.29</v>
      </c>
      <c r="AB123" s="253"/>
      <c r="AC123" s="535">
        <v>115</v>
      </c>
      <c r="AD123" s="536">
        <v>161.72999999999999</v>
      </c>
      <c r="AE123" s="529">
        <v>226.43</v>
      </c>
      <c r="AF123" s="253"/>
      <c r="AG123" s="535">
        <v>115</v>
      </c>
      <c r="AH123" s="536">
        <v>164.69</v>
      </c>
      <c r="AI123" s="529">
        <v>230.56</v>
      </c>
      <c r="AJ123" s="253"/>
      <c r="AK123" s="535">
        <v>115</v>
      </c>
      <c r="AL123" s="536">
        <v>167.64</v>
      </c>
      <c r="AM123" s="529">
        <v>234.7</v>
      </c>
      <c r="AN123" s="253"/>
      <c r="AO123" s="535">
        <v>115</v>
      </c>
      <c r="AP123" s="536">
        <v>170.6</v>
      </c>
      <c r="AQ123" s="529">
        <v>238.84</v>
      </c>
      <c r="AR123" s="253"/>
      <c r="AS123" s="535">
        <v>115</v>
      </c>
      <c r="AT123" s="536">
        <v>173.55</v>
      </c>
      <c r="AU123" s="529">
        <v>242.98</v>
      </c>
      <c r="AV123" s="253"/>
      <c r="AW123" s="535">
        <v>115</v>
      </c>
      <c r="AX123" s="536">
        <v>176.51</v>
      </c>
      <c r="AY123" s="529">
        <v>247.11</v>
      </c>
      <c r="AZ123" s="253"/>
      <c r="BA123" s="535">
        <v>115</v>
      </c>
      <c r="BB123" s="536">
        <v>179.47</v>
      </c>
      <c r="BC123" s="529">
        <v>251.25</v>
      </c>
      <c r="BD123" s="253"/>
      <c r="BE123" s="535">
        <v>115</v>
      </c>
      <c r="BF123" s="536">
        <v>182.42</v>
      </c>
      <c r="BG123" s="529">
        <v>255.39</v>
      </c>
      <c r="BH123" s="253"/>
      <c r="BI123" s="535">
        <v>115</v>
      </c>
      <c r="BJ123" s="536">
        <v>185.38</v>
      </c>
      <c r="BK123" s="529">
        <v>259.52999999999997</v>
      </c>
      <c r="BL123" s="253"/>
    </row>
    <row r="124" spans="1:64" ht="23.25">
      <c r="A124" s="269">
        <v>116</v>
      </c>
      <c r="B124" s="1437">
        <f t="shared" si="2"/>
        <v>157.18</v>
      </c>
      <c r="C124" s="1438">
        <f t="shared" si="3"/>
        <v>220.05</v>
      </c>
      <c r="D124" s="279"/>
      <c r="E124" s="1420">
        <v>116</v>
      </c>
      <c r="F124" s="1421">
        <v>145.25</v>
      </c>
      <c r="G124" s="1414">
        <v>203.36</v>
      </c>
      <c r="H124" s="1404"/>
      <c r="I124" s="1420">
        <v>116</v>
      </c>
      <c r="J124" s="1421">
        <v>148.24</v>
      </c>
      <c r="K124" s="1414">
        <v>207.53</v>
      </c>
      <c r="L124" s="279"/>
      <c r="M124" s="535">
        <v>116</v>
      </c>
      <c r="N124" s="569">
        <v>151.22</v>
      </c>
      <c r="O124" s="569">
        <v>211.7</v>
      </c>
      <c r="P124" s="253"/>
      <c r="Q124" s="535">
        <v>116</v>
      </c>
      <c r="R124" s="569">
        <v>154.19999999999999</v>
      </c>
      <c r="S124" s="569">
        <v>215.88</v>
      </c>
      <c r="T124" s="253"/>
      <c r="U124" s="535">
        <v>116</v>
      </c>
      <c r="V124" s="569">
        <v>157.18</v>
      </c>
      <c r="W124" s="569">
        <v>220.05</v>
      </c>
      <c r="X124" s="253"/>
      <c r="Y124" s="535">
        <v>116</v>
      </c>
      <c r="Z124" s="536">
        <v>160.16</v>
      </c>
      <c r="AA124" s="529">
        <v>224.22</v>
      </c>
      <c r="AB124" s="253"/>
      <c r="AC124" s="535">
        <v>116</v>
      </c>
      <c r="AD124" s="536">
        <v>163.13999999999999</v>
      </c>
      <c r="AE124" s="529">
        <v>228.4</v>
      </c>
      <c r="AF124" s="253"/>
      <c r="AG124" s="535">
        <v>116</v>
      </c>
      <c r="AH124" s="536">
        <v>166.12</v>
      </c>
      <c r="AI124" s="529">
        <v>232.57</v>
      </c>
      <c r="AJ124" s="253"/>
      <c r="AK124" s="535">
        <v>116</v>
      </c>
      <c r="AL124" s="536">
        <v>169.1</v>
      </c>
      <c r="AM124" s="529">
        <v>236.74</v>
      </c>
      <c r="AN124" s="253"/>
      <c r="AO124" s="535">
        <v>116</v>
      </c>
      <c r="AP124" s="536">
        <v>172.08</v>
      </c>
      <c r="AQ124" s="529">
        <v>248.92</v>
      </c>
      <c r="AR124" s="253"/>
      <c r="AS124" s="535">
        <v>116</v>
      </c>
      <c r="AT124" s="536">
        <v>175.07</v>
      </c>
      <c r="AU124" s="529">
        <v>245.09</v>
      </c>
      <c r="AV124" s="253"/>
      <c r="AW124" s="535">
        <v>116</v>
      </c>
      <c r="AX124" s="536">
        <v>178.05</v>
      </c>
      <c r="AY124" s="529">
        <v>249.27</v>
      </c>
      <c r="AZ124" s="253"/>
      <c r="BA124" s="535">
        <v>116</v>
      </c>
      <c r="BB124" s="536">
        <v>181.03</v>
      </c>
      <c r="BC124" s="529">
        <v>253.44</v>
      </c>
      <c r="BD124" s="253"/>
      <c r="BE124" s="535">
        <v>116</v>
      </c>
      <c r="BF124" s="536">
        <v>184.01</v>
      </c>
      <c r="BG124" s="529">
        <v>257.61</v>
      </c>
      <c r="BH124" s="253"/>
      <c r="BI124" s="535">
        <v>116</v>
      </c>
      <c r="BJ124" s="536">
        <v>186.99</v>
      </c>
      <c r="BK124" s="529">
        <v>261.79000000000002</v>
      </c>
      <c r="BL124" s="253"/>
    </row>
    <row r="125" spans="1:64" ht="23.25">
      <c r="A125" s="269">
        <v>117</v>
      </c>
      <c r="B125" s="1437">
        <f t="shared" si="2"/>
        <v>158.54</v>
      </c>
      <c r="C125" s="1438">
        <f t="shared" si="3"/>
        <v>221.95</v>
      </c>
      <c r="D125" s="279"/>
      <c r="E125" s="1420">
        <v>117</v>
      </c>
      <c r="F125" s="1421">
        <v>146.51</v>
      </c>
      <c r="G125" s="1414">
        <v>205.11</v>
      </c>
      <c r="H125" s="1404"/>
      <c r="I125" s="1420">
        <v>117</v>
      </c>
      <c r="J125" s="1421">
        <v>149.52000000000001</v>
      </c>
      <c r="K125" s="1414">
        <v>209.32</v>
      </c>
      <c r="L125" s="279"/>
      <c r="M125" s="535">
        <v>117</v>
      </c>
      <c r="N125" s="569">
        <v>152.52000000000001</v>
      </c>
      <c r="O125" s="569">
        <v>213.53</v>
      </c>
      <c r="P125" s="253"/>
      <c r="Q125" s="535">
        <v>117</v>
      </c>
      <c r="R125" s="569">
        <v>155.53</v>
      </c>
      <c r="S125" s="569">
        <v>217.74</v>
      </c>
      <c r="T125" s="253"/>
      <c r="U125" s="535">
        <v>117</v>
      </c>
      <c r="V125" s="569">
        <v>158.54</v>
      </c>
      <c r="W125" s="569">
        <v>221.95</v>
      </c>
      <c r="X125" s="253"/>
      <c r="Y125" s="535">
        <v>117</v>
      </c>
      <c r="Z125" s="536">
        <v>161.54</v>
      </c>
      <c r="AA125" s="529">
        <v>226.16</v>
      </c>
      <c r="AB125" s="253"/>
      <c r="AC125" s="535">
        <v>117</v>
      </c>
      <c r="AD125" s="536">
        <v>164.55</v>
      </c>
      <c r="AE125" s="529">
        <v>230.37</v>
      </c>
      <c r="AF125" s="253"/>
      <c r="AG125" s="535">
        <v>117</v>
      </c>
      <c r="AH125" s="536">
        <v>167.56</v>
      </c>
      <c r="AI125" s="529">
        <v>234.58</v>
      </c>
      <c r="AJ125" s="253"/>
      <c r="AK125" s="535">
        <v>117</v>
      </c>
      <c r="AL125" s="536">
        <v>170.57</v>
      </c>
      <c r="AM125" s="529">
        <v>238.79</v>
      </c>
      <c r="AN125" s="253"/>
      <c r="AO125" s="535">
        <v>117</v>
      </c>
      <c r="AP125" s="536">
        <v>173.57</v>
      </c>
      <c r="AQ125" s="529">
        <v>243</v>
      </c>
      <c r="AR125" s="253"/>
      <c r="AS125" s="535">
        <v>117</v>
      </c>
      <c r="AT125" s="536">
        <v>176.58</v>
      </c>
      <c r="AU125" s="529">
        <v>247.21</v>
      </c>
      <c r="AV125" s="253"/>
      <c r="AW125" s="535">
        <v>117</v>
      </c>
      <c r="AX125" s="536">
        <v>179.59</v>
      </c>
      <c r="AY125" s="529">
        <v>251.42</v>
      </c>
      <c r="AZ125" s="253"/>
      <c r="BA125" s="535">
        <v>117</v>
      </c>
      <c r="BB125" s="536">
        <v>183.59</v>
      </c>
      <c r="BC125" s="529">
        <v>255.63</v>
      </c>
      <c r="BD125" s="253"/>
      <c r="BE125" s="535">
        <v>117</v>
      </c>
      <c r="BF125" s="536">
        <v>185.6</v>
      </c>
      <c r="BG125" s="529">
        <v>259.83999999999997</v>
      </c>
      <c r="BH125" s="253"/>
      <c r="BI125" s="535">
        <v>117</v>
      </c>
      <c r="BJ125" s="536">
        <v>188.61</v>
      </c>
      <c r="BK125" s="529">
        <v>264.05</v>
      </c>
      <c r="BL125" s="253"/>
    </row>
    <row r="126" spans="1:64" ht="23.25">
      <c r="A126" s="269">
        <v>118</v>
      </c>
      <c r="B126" s="1437">
        <f t="shared" si="2"/>
        <v>459.92</v>
      </c>
      <c r="C126" s="1438">
        <f t="shared" si="3"/>
        <v>223.86</v>
      </c>
      <c r="D126" s="279"/>
      <c r="E126" s="1420">
        <v>118</v>
      </c>
      <c r="F126" s="1421">
        <v>147.77000000000001</v>
      </c>
      <c r="G126" s="1414">
        <v>206.88</v>
      </c>
      <c r="H126" s="1404"/>
      <c r="I126" s="1420">
        <v>118</v>
      </c>
      <c r="J126" s="1421">
        <v>150.80000000000001</v>
      </c>
      <c r="K126" s="1414">
        <v>211.12</v>
      </c>
      <c r="L126" s="279"/>
      <c r="M126" s="535">
        <v>118</v>
      </c>
      <c r="N126" s="569">
        <v>153.80000000000001</v>
      </c>
      <c r="O126" s="569">
        <v>215.37</v>
      </c>
      <c r="P126" s="253"/>
      <c r="Q126" s="535">
        <v>118</v>
      </c>
      <c r="R126" s="569">
        <v>166.87</v>
      </c>
      <c r="S126" s="569">
        <v>219.61</v>
      </c>
      <c r="T126" s="253"/>
      <c r="U126" s="535">
        <v>118</v>
      </c>
      <c r="V126" s="569">
        <v>459.92</v>
      </c>
      <c r="W126" s="569">
        <v>223.86</v>
      </c>
      <c r="X126" s="253"/>
      <c r="Y126" s="535">
        <v>118</v>
      </c>
      <c r="Z126" s="536">
        <v>162.91999999999999</v>
      </c>
      <c r="AA126" s="529">
        <v>228.1</v>
      </c>
      <c r="AB126" s="253"/>
      <c r="AC126" s="535">
        <v>118</v>
      </c>
      <c r="AD126" s="536">
        <v>165.96</v>
      </c>
      <c r="AE126" s="529">
        <v>232.35</v>
      </c>
      <c r="AF126" s="253"/>
      <c r="AG126" s="535">
        <v>118</v>
      </c>
      <c r="AH126" s="536">
        <v>169</v>
      </c>
      <c r="AI126" s="529">
        <v>236.66</v>
      </c>
      <c r="AJ126" s="253"/>
      <c r="AK126" s="535">
        <v>118</v>
      </c>
      <c r="AL126" s="536">
        <v>172.02</v>
      </c>
      <c r="AM126" s="529">
        <v>240.83</v>
      </c>
      <c r="AN126" s="253"/>
      <c r="AO126" s="535">
        <v>118</v>
      </c>
      <c r="AP126" s="536">
        <v>175.04</v>
      </c>
      <c r="AQ126" s="529">
        <v>245.09</v>
      </c>
      <c r="AR126" s="253"/>
      <c r="AS126" s="535">
        <v>118</v>
      </c>
      <c r="AT126" s="536">
        <v>178.09</v>
      </c>
      <c r="AU126" s="529">
        <v>249.33</v>
      </c>
      <c r="AV126" s="253"/>
      <c r="AW126" s="535">
        <v>118</v>
      </c>
      <c r="AX126" s="536">
        <v>181.13</v>
      </c>
      <c r="AY126" s="529">
        <v>253.58</v>
      </c>
      <c r="AZ126" s="253"/>
      <c r="BA126" s="535">
        <v>118</v>
      </c>
      <c r="BB126" s="536">
        <v>184.16</v>
      </c>
      <c r="BC126" s="529">
        <v>257.82</v>
      </c>
      <c r="BD126" s="253"/>
      <c r="BE126" s="535">
        <v>118</v>
      </c>
      <c r="BF126" s="536">
        <v>187.19</v>
      </c>
      <c r="BG126" s="529">
        <v>262.07</v>
      </c>
      <c r="BH126" s="253"/>
      <c r="BI126" s="535">
        <v>118</v>
      </c>
      <c r="BJ126" s="536">
        <v>190.23</v>
      </c>
      <c r="BK126" s="529">
        <v>266.32</v>
      </c>
      <c r="BL126" s="253"/>
    </row>
    <row r="127" spans="1:64" ht="23.25">
      <c r="A127" s="269">
        <v>119</v>
      </c>
      <c r="B127" s="1437">
        <f t="shared" si="2"/>
        <v>161.30000000000001</v>
      </c>
      <c r="C127" s="1438">
        <f t="shared" si="3"/>
        <v>225.77</v>
      </c>
      <c r="D127" s="279"/>
      <c r="E127" s="1420">
        <v>119</v>
      </c>
      <c r="F127" s="1421">
        <v>149.03</v>
      </c>
      <c r="G127" s="1414">
        <v>208.64</v>
      </c>
      <c r="H127" s="1404"/>
      <c r="I127" s="1420">
        <v>119</v>
      </c>
      <c r="J127" s="1421">
        <v>152.09</v>
      </c>
      <c r="K127" s="1414">
        <v>212.92</v>
      </c>
      <c r="L127" s="279"/>
      <c r="M127" s="535">
        <v>119</v>
      </c>
      <c r="N127" s="569">
        <v>155.08000000000001</v>
      </c>
      <c r="O127" s="569">
        <v>217.21</v>
      </c>
      <c r="P127" s="253"/>
      <c r="Q127" s="535">
        <v>119</v>
      </c>
      <c r="R127" s="569">
        <v>158.15</v>
      </c>
      <c r="S127" s="569">
        <v>221.49</v>
      </c>
      <c r="T127" s="253"/>
      <c r="U127" s="535">
        <v>119</v>
      </c>
      <c r="V127" s="569">
        <v>161.30000000000001</v>
      </c>
      <c r="W127" s="569">
        <v>225.77</v>
      </c>
      <c r="X127" s="253"/>
      <c r="Y127" s="535">
        <v>119</v>
      </c>
      <c r="Z127" s="536">
        <v>164.3</v>
      </c>
      <c r="AA127" s="529">
        <v>230.05</v>
      </c>
      <c r="AB127" s="253"/>
      <c r="AC127" s="535">
        <v>119</v>
      </c>
      <c r="AD127" s="536">
        <v>167.37</v>
      </c>
      <c r="AE127" s="529">
        <v>234.33</v>
      </c>
      <c r="AF127" s="253"/>
      <c r="AG127" s="535">
        <v>119</v>
      </c>
      <c r="AH127" s="536">
        <v>170.4</v>
      </c>
      <c r="AI127" s="529">
        <v>238.61</v>
      </c>
      <c r="AJ127" s="253"/>
      <c r="AK127" s="535">
        <v>119</v>
      </c>
      <c r="AL127" s="536">
        <v>173.5</v>
      </c>
      <c r="AM127" s="529">
        <v>242.89</v>
      </c>
      <c r="AN127" s="253"/>
      <c r="AO127" s="535">
        <v>119</v>
      </c>
      <c r="AP127" s="536">
        <v>176.52</v>
      </c>
      <c r="AQ127" s="529">
        <v>247.18</v>
      </c>
      <c r="AR127" s="253"/>
      <c r="AS127" s="535">
        <v>119</v>
      </c>
      <c r="AT127" s="536">
        <v>179.65</v>
      </c>
      <c r="AU127" s="529">
        <v>251.46</v>
      </c>
      <c r="AV127" s="253"/>
      <c r="AW127" s="535">
        <v>119</v>
      </c>
      <c r="AX127" s="536">
        <v>182.67</v>
      </c>
      <c r="AY127" s="529">
        <v>255.74</v>
      </c>
      <c r="AZ127" s="253"/>
      <c r="BA127" s="535">
        <v>119</v>
      </c>
      <c r="BB127" s="536">
        <v>185.72</v>
      </c>
      <c r="BC127" s="529">
        <v>260.02</v>
      </c>
      <c r="BD127" s="253"/>
      <c r="BE127" s="535">
        <v>119</v>
      </c>
      <c r="BF127" s="536">
        <v>188.79</v>
      </c>
      <c r="BG127" s="529">
        <v>264.3</v>
      </c>
      <c r="BH127" s="253"/>
      <c r="BI127" s="535">
        <v>119</v>
      </c>
      <c r="BJ127" s="536">
        <v>191.84</v>
      </c>
      <c r="BK127" s="529">
        <v>268.58</v>
      </c>
      <c r="BL127" s="253"/>
    </row>
    <row r="128" spans="1:64" ht="23.25">
      <c r="A128" s="270">
        <v>120</v>
      </c>
      <c r="B128" s="1437">
        <f t="shared" si="2"/>
        <v>162.66</v>
      </c>
      <c r="C128" s="1438">
        <f t="shared" si="3"/>
        <v>227.59</v>
      </c>
      <c r="D128" s="279"/>
      <c r="E128" s="1422">
        <v>120</v>
      </c>
      <c r="F128" s="1416">
        <v>150.22999999999999</v>
      </c>
      <c r="G128" s="1417">
        <v>210.32</v>
      </c>
      <c r="H128" s="1404"/>
      <c r="I128" s="1422">
        <v>120</v>
      </c>
      <c r="J128" s="1416">
        <v>153.31</v>
      </c>
      <c r="K128" s="1417">
        <v>214.64</v>
      </c>
      <c r="L128" s="279"/>
      <c r="M128" s="537">
        <v>120</v>
      </c>
      <c r="N128" s="571">
        <v>156.4</v>
      </c>
      <c r="O128" s="571">
        <v>218.95</v>
      </c>
      <c r="P128" s="253"/>
      <c r="Q128" s="537">
        <v>120</v>
      </c>
      <c r="R128" s="571">
        <v>159.47999999999999</v>
      </c>
      <c r="S128" s="571">
        <v>223.27</v>
      </c>
      <c r="T128" s="253"/>
      <c r="U128" s="537">
        <v>120</v>
      </c>
      <c r="V128" s="571">
        <v>162.66</v>
      </c>
      <c r="W128" s="571">
        <v>227.59</v>
      </c>
      <c r="X128" s="253"/>
      <c r="Y128" s="537">
        <v>120</v>
      </c>
      <c r="Z128" s="531">
        <v>165.68</v>
      </c>
      <c r="AA128" s="532">
        <v>231.91</v>
      </c>
      <c r="AB128" s="253"/>
      <c r="AC128" s="537">
        <v>120</v>
      </c>
      <c r="AD128" s="531">
        <v>168.78</v>
      </c>
      <c r="AE128" s="532">
        <v>236.22</v>
      </c>
      <c r="AF128" s="253"/>
      <c r="AG128" s="537">
        <v>120</v>
      </c>
      <c r="AH128" s="531">
        <v>171.82</v>
      </c>
      <c r="AI128" s="532">
        <v>239.61</v>
      </c>
      <c r="AJ128" s="253"/>
      <c r="AK128" s="537">
        <v>120</v>
      </c>
      <c r="AL128" s="531">
        <v>174.9</v>
      </c>
      <c r="AM128" s="532">
        <v>244.93</v>
      </c>
      <c r="AN128" s="253"/>
      <c r="AO128" s="537">
        <v>120</v>
      </c>
      <c r="AP128" s="531">
        <v>177.98</v>
      </c>
      <c r="AQ128" s="532">
        <v>249.18</v>
      </c>
      <c r="AR128" s="253"/>
      <c r="AS128" s="537">
        <v>120</v>
      </c>
      <c r="AT128" s="531">
        <v>181.07</v>
      </c>
      <c r="AU128" s="532">
        <v>253.57</v>
      </c>
      <c r="AV128" s="253"/>
      <c r="AW128" s="537">
        <v>120</v>
      </c>
      <c r="AX128" s="531">
        <v>184.15</v>
      </c>
      <c r="AY128" s="532">
        <v>247.81</v>
      </c>
      <c r="AZ128" s="253"/>
      <c r="BA128" s="537">
        <v>120</v>
      </c>
      <c r="BB128" s="531">
        <v>187.28</v>
      </c>
      <c r="BC128" s="532">
        <v>262.13</v>
      </c>
      <c r="BD128" s="253"/>
      <c r="BE128" s="537">
        <v>120</v>
      </c>
      <c r="BF128" s="531">
        <v>190.32</v>
      </c>
      <c r="BG128" s="532">
        <v>266.45</v>
      </c>
      <c r="BH128" s="253"/>
      <c r="BI128" s="537">
        <v>120</v>
      </c>
      <c r="BJ128" s="531">
        <v>193.45</v>
      </c>
      <c r="BK128" s="532">
        <v>270.77</v>
      </c>
      <c r="BL128" s="253"/>
    </row>
    <row r="129" spans="1:64" ht="23.25">
      <c r="A129" s="267">
        <v>121</v>
      </c>
      <c r="B129" s="1437">
        <f t="shared" si="2"/>
        <v>163.93</v>
      </c>
      <c r="C129" s="1438">
        <f t="shared" si="3"/>
        <v>229.5</v>
      </c>
      <c r="D129" s="279"/>
      <c r="E129" s="1413">
        <v>121</v>
      </c>
      <c r="F129" s="1411">
        <v>151.49</v>
      </c>
      <c r="G129" s="1412">
        <v>212.09</v>
      </c>
      <c r="H129" s="1404"/>
      <c r="I129" s="1413">
        <v>121</v>
      </c>
      <c r="J129" s="1411">
        <v>154.6</v>
      </c>
      <c r="K129" s="1412">
        <v>216.44</v>
      </c>
      <c r="L129" s="279"/>
      <c r="M129" s="528">
        <v>121</v>
      </c>
      <c r="N129" s="569">
        <v>157.71</v>
      </c>
      <c r="O129" s="570">
        <v>220.8</v>
      </c>
      <c r="P129" s="253"/>
      <c r="Q129" s="528">
        <v>121</v>
      </c>
      <c r="R129" s="569">
        <v>160.82</v>
      </c>
      <c r="S129" s="570">
        <v>225.15</v>
      </c>
      <c r="T129" s="253"/>
      <c r="U129" s="528">
        <v>121</v>
      </c>
      <c r="V129" s="569">
        <v>163.93</v>
      </c>
      <c r="W129" s="570">
        <v>229.5</v>
      </c>
      <c r="X129" s="253"/>
      <c r="Y129" s="528">
        <v>121</v>
      </c>
      <c r="Z129" s="526">
        <v>167.04</v>
      </c>
      <c r="AA129" s="527">
        <v>233.86</v>
      </c>
      <c r="AB129" s="253"/>
      <c r="AC129" s="528">
        <v>121</v>
      </c>
      <c r="AD129" s="526">
        <v>170.15</v>
      </c>
      <c r="AE129" s="527">
        <v>238.21</v>
      </c>
      <c r="AF129" s="253"/>
      <c r="AG129" s="528">
        <v>121</v>
      </c>
      <c r="AH129" s="526">
        <v>173.26</v>
      </c>
      <c r="AI129" s="527">
        <v>242.56</v>
      </c>
      <c r="AJ129" s="253"/>
      <c r="AK129" s="528">
        <v>121</v>
      </c>
      <c r="AL129" s="526">
        <v>176.37</v>
      </c>
      <c r="AM129" s="527">
        <v>246.92</v>
      </c>
      <c r="AN129" s="253"/>
      <c r="AO129" s="528">
        <v>121</v>
      </c>
      <c r="AP129" s="526">
        <v>179.48</v>
      </c>
      <c r="AQ129" s="527">
        <v>251.27</v>
      </c>
      <c r="AR129" s="253"/>
      <c r="AS129" s="528">
        <v>121</v>
      </c>
      <c r="AT129" s="526">
        <v>182.59</v>
      </c>
      <c r="AU129" s="527">
        <v>255.63</v>
      </c>
      <c r="AV129" s="253"/>
      <c r="AW129" s="528">
        <v>121</v>
      </c>
      <c r="AX129" s="526">
        <v>185.7</v>
      </c>
      <c r="AY129" s="527">
        <v>259.98</v>
      </c>
      <c r="AZ129" s="253"/>
      <c r="BA129" s="528">
        <v>121</v>
      </c>
      <c r="BB129" s="526">
        <v>188.81</v>
      </c>
      <c r="BC129" s="527">
        <v>264.33</v>
      </c>
      <c r="BD129" s="253"/>
      <c r="BE129" s="528">
        <v>121</v>
      </c>
      <c r="BF129" s="526">
        <v>191.92</v>
      </c>
      <c r="BG129" s="527">
        <v>268.69</v>
      </c>
      <c r="BH129" s="253"/>
      <c r="BI129" s="528">
        <v>121</v>
      </c>
      <c r="BJ129" s="526">
        <v>195.03</v>
      </c>
      <c r="BK129" s="527">
        <v>273.04000000000002</v>
      </c>
      <c r="BL129" s="253"/>
    </row>
    <row r="130" spans="1:64" ht="23.25">
      <c r="A130" s="269">
        <v>122</v>
      </c>
      <c r="B130" s="1437">
        <f t="shared" si="2"/>
        <v>165.3</v>
      </c>
      <c r="C130" s="1438">
        <f t="shared" si="3"/>
        <v>231.42</v>
      </c>
      <c r="D130" s="279"/>
      <c r="E130" s="1413">
        <v>122</v>
      </c>
      <c r="F130" s="1411">
        <v>152.76</v>
      </c>
      <c r="G130" s="1414">
        <v>213.86</v>
      </c>
      <c r="H130" s="1404"/>
      <c r="I130" s="1413">
        <v>122</v>
      </c>
      <c r="J130" s="1411">
        <v>155.88999999999999</v>
      </c>
      <c r="K130" s="1414">
        <v>218.25</v>
      </c>
      <c r="L130" s="279"/>
      <c r="M130" s="528">
        <v>122</v>
      </c>
      <c r="N130" s="569">
        <v>159.03</v>
      </c>
      <c r="O130" s="569">
        <v>222.64</v>
      </c>
      <c r="P130" s="253"/>
      <c r="Q130" s="528">
        <v>122</v>
      </c>
      <c r="R130" s="569">
        <v>162.16999999999999</v>
      </c>
      <c r="S130" s="569">
        <v>227.03</v>
      </c>
      <c r="T130" s="253"/>
      <c r="U130" s="528">
        <v>122</v>
      </c>
      <c r="V130" s="569">
        <v>165.3</v>
      </c>
      <c r="W130" s="569">
        <v>231.42</v>
      </c>
      <c r="X130" s="253"/>
      <c r="Y130" s="528">
        <v>122</v>
      </c>
      <c r="Z130" s="526">
        <v>168.44</v>
      </c>
      <c r="AA130" s="529">
        <v>235.81</v>
      </c>
      <c r="AB130" s="253"/>
      <c r="AC130" s="528">
        <v>122</v>
      </c>
      <c r="AD130" s="526">
        <v>171.57</v>
      </c>
      <c r="AE130" s="529">
        <v>240.2</v>
      </c>
      <c r="AF130" s="253"/>
      <c r="AG130" s="528">
        <v>122</v>
      </c>
      <c r="AH130" s="526">
        <v>174.71</v>
      </c>
      <c r="AI130" s="529">
        <v>244.59</v>
      </c>
      <c r="AJ130" s="253"/>
      <c r="AK130" s="528">
        <v>122</v>
      </c>
      <c r="AL130" s="526">
        <v>177.84</v>
      </c>
      <c r="AM130" s="529">
        <v>248.98</v>
      </c>
      <c r="AN130" s="253"/>
      <c r="AO130" s="528">
        <v>122</v>
      </c>
      <c r="AP130" s="526">
        <v>180.98</v>
      </c>
      <c r="AQ130" s="529">
        <v>253.37</v>
      </c>
      <c r="AR130" s="253"/>
      <c r="AS130" s="528">
        <v>122</v>
      </c>
      <c r="AT130" s="526">
        <v>184.11</v>
      </c>
      <c r="AU130" s="529">
        <v>257.76</v>
      </c>
      <c r="AV130" s="253"/>
      <c r="AW130" s="528">
        <v>122</v>
      </c>
      <c r="AX130" s="526">
        <v>187.25</v>
      </c>
      <c r="AY130" s="529">
        <v>262.14999999999998</v>
      </c>
      <c r="AZ130" s="253"/>
      <c r="BA130" s="528">
        <v>122</v>
      </c>
      <c r="BB130" s="526">
        <v>190.38</v>
      </c>
      <c r="BC130" s="529">
        <v>266.54000000000002</v>
      </c>
      <c r="BD130" s="253"/>
      <c r="BE130" s="528">
        <v>122</v>
      </c>
      <c r="BF130" s="526">
        <v>193.52</v>
      </c>
      <c r="BG130" s="529">
        <v>270.93</v>
      </c>
      <c r="BH130" s="253"/>
      <c r="BI130" s="528">
        <v>122</v>
      </c>
      <c r="BJ130" s="526">
        <v>196.65</v>
      </c>
      <c r="BK130" s="529">
        <v>275.32</v>
      </c>
      <c r="BL130" s="253"/>
    </row>
    <row r="131" spans="1:64" ht="23.25">
      <c r="A131" s="269">
        <v>123</v>
      </c>
      <c r="B131" s="1437">
        <f t="shared" si="2"/>
        <v>166.6</v>
      </c>
      <c r="C131" s="1438">
        <f t="shared" si="3"/>
        <v>233.25</v>
      </c>
      <c r="D131" s="279"/>
      <c r="E131" s="1413">
        <v>123</v>
      </c>
      <c r="F131" s="1411">
        <v>153.96</v>
      </c>
      <c r="G131" s="1414">
        <v>215.54</v>
      </c>
      <c r="H131" s="1404"/>
      <c r="I131" s="1413">
        <v>123</v>
      </c>
      <c r="J131" s="1411">
        <v>157.12</v>
      </c>
      <c r="K131" s="1414">
        <v>219.97</v>
      </c>
      <c r="L131" s="279"/>
      <c r="M131" s="528">
        <v>123</v>
      </c>
      <c r="N131" s="569">
        <v>160.28</v>
      </c>
      <c r="O131" s="569">
        <v>224.4</v>
      </c>
      <c r="P131" s="253"/>
      <c r="Q131" s="528">
        <v>123</v>
      </c>
      <c r="R131" s="569">
        <v>163.44</v>
      </c>
      <c r="S131" s="569">
        <v>228.82</v>
      </c>
      <c r="T131" s="253"/>
      <c r="U131" s="528">
        <v>123</v>
      </c>
      <c r="V131" s="569">
        <v>166.6</v>
      </c>
      <c r="W131" s="569">
        <v>233.25</v>
      </c>
      <c r="X131" s="253"/>
      <c r="Y131" s="528">
        <v>123</v>
      </c>
      <c r="Z131" s="526">
        <v>169.77</v>
      </c>
      <c r="AA131" s="529">
        <v>237.67</v>
      </c>
      <c r="AB131" s="253"/>
      <c r="AC131" s="528">
        <v>123</v>
      </c>
      <c r="AD131" s="526">
        <v>172.93</v>
      </c>
      <c r="AE131" s="529">
        <v>242.1</v>
      </c>
      <c r="AF131" s="253"/>
      <c r="AG131" s="528">
        <v>123</v>
      </c>
      <c r="AH131" s="526">
        <v>176.09</v>
      </c>
      <c r="AI131" s="529">
        <v>246.52</v>
      </c>
      <c r="AJ131" s="253"/>
      <c r="AK131" s="528">
        <v>123</v>
      </c>
      <c r="AL131" s="526">
        <v>179.25</v>
      </c>
      <c r="AM131" s="529">
        <v>250.95</v>
      </c>
      <c r="AN131" s="253"/>
      <c r="AO131" s="528">
        <v>123</v>
      </c>
      <c r="AP131" s="526">
        <v>182.41</v>
      </c>
      <c r="AQ131" s="529">
        <v>255.37</v>
      </c>
      <c r="AR131" s="253"/>
      <c r="AS131" s="528">
        <v>123</v>
      </c>
      <c r="AT131" s="526">
        <v>185.57</v>
      </c>
      <c r="AU131" s="529">
        <v>259.8</v>
      </c>
      <c r="AV131" s="253"/>
      <c r="AW131" s="528">
        <v>123</v>
      </c>
      <c r="AX131" s="526">
        <v>188.73</v>
      </c>
      <c r="AY131" s="529">
        <v>264.23</v>
      </c>
      <c r="AZ131" s="253"/>
      <c r="BA131" s="528">
        <v>123</v>
      </c>
      <c r="BB131" s="526">
        <v>191.89</v>
      </c>
      <c r="BC131" s="529">
        <v>268.64999999999998</v>
      </c>
      <c r="BD131" s="253"/>
      <c r="BE131" s="528">
        <v>123</v>
      </c>
      <c r="BF131" s="526">
        <v>195.05</v>
      </c>
      <c r="BG131" s="529">
        <v>273.08</v>
      </c>
      <c r="BH131" s="253"/>
      <c r="BI131" s="528">
        <v>123</v>
      </c>
      <c r="BJ131" s="526">
        <v>198.22</v>
      </c>
      <c r="BK131" s="529">
        <v>277.5</v>
      </c>
      <c r="BL131" s="253"/>
    </row>
    <row r="132" spans="1:64" ht="23.25">
      <c r="A132" s="269">
        <v>124</v>
      </c>
      <c r="B132" s="1437">
        <f t="shared" si="2"/>
        <v>167.98</v>
      </c>
      <c r="C132" s="1438">
        <f t="shared" si="3"/>
        <v>235.17</v>
      </c>
      <c r="D132" s="279"/>
      <c r="E132" s="1413">
        <v>124</v>
      </c>
      <c r="F132" s="1411">
        <v>155.22999999999999</v>
      </c>
      <c r="G132" s="1414">
        <v>217.32</v>
      </c>
      <c r="H132" s="1404"/>
      <c r="I132" s="1413">
        <v>124</v>
      </c>
      <c r="J132" s="1411">
        <v>158.41999999999999</v>
      </c>
      <c r="K132" s="1414">
        <v>221.78</v>
      </c>
      <c r="L132" s="279"/>
      <c r="M132" s="528">
        <v>124</v>
      </c>
      <c r="N132" s="569">
        <v>161.6</v>
      </c>
      <c r="O132" s="569">
        <v>226.25</v>
      </c>
      <c r="P132" s="253"/>
      <c r="Q132" s="528">
        <v>124</v>
      </c>
      <c r="R132" s="569">
        <v>164.79</v>
      </c>
      <c r="S132" s="569">
        <v>230.71</v>
      </c>
      <c r="T132" s="253"/>
      <c r="U132" s="528">
        <v>124</v>
      </c>
      <c r="V132" s="569">
        <v>167.98</v>
      </c>
      <c r="W132" s="569">
        <v>235.17</v>
      </c>
      <c r="X132" s="253"/>
      <c r="Y132" s="528">
        <v>124</v>
      </c>
      <c r="Z132" s="526">
        <v>171.17</v>
      </c>
      <c r="AA132" s="529">
        <v>239.63</v>
      </c>
      <c r="AB132" s="253"/>
      <c r="AC132" s="528">
        <v>124</v>
      </c>
      <c r="AD132" s="526">
        <v>174.35</v>
      </c>
      <c r="AE132" s="529">
        <v>244.09</v>
      </c>
      <c r="AF132" s="253"/>
      <c r="AG132" s="528">
        <v>124</v>
      </c>
      <c r="AH132" s="526">
        <v>177.54</v>
      </c>
      <c r="AI132" s="529">
        <v>248.55</v>
      </c>
      <c r="AJ132" s="253"/>
      <c r="AK132" s="528">
        <v>124</v>
      </c>
      <c r="AL132" s="526">
        <v>180.73</v>
      </c>
      <c r="AM132" s="529">
        <v>253.02</v>
      </c>
      <c r="AN132" s="253"/>
      <c r="AO132" s="528">
        <v>124</v>
      </c>
      <c r="AP132" s="526">
        <v>183.91</v>
      </c>
      <c r="AQ132" s="529">
        <v>257.48</v>
      </c>
      <c r="AR132" s="253"/>
      <c r="AS132" s="528">
        <v>124</v>
      </c>
      <c r="AT132" s="526">
        <v>187.1</v>
      </c>
      <c r="AU132" s="529">
        <v>261.94</v>
      </c>
      <c r="AV132" s="253"/>
      <c r="AW132" s="528">
        <v>124</v>
      </c>
      <c r="AX132" s="526">
        <v>190.29</v>
      </c>
      <c r="AY132" s="529">
        <v>266.39999999999998</v>
      </c>
      <c r="AZ132" s="253"/>
      <c r="BA132" s="528">
        <v>124</v>
      </c>
      <c r="BB132" s="526">
        <v>193.47</v>
      </c>
      <c r="BC132" s="529">
        <v>270.86</v>
      </c>
      <c r="BD132" s="253"/>
      <c r="BE132" s="528">
        <v>124</v>
      </c>
      <c r="BF132" s="526">
        <v>196.66</v>
      </c>
      <c r="BG132" s="529">
        <v>275.32</v>
      </c>
      <c r="BH132" s="253"/>
      <c r="BI132" s="528">
        <v>124</v>
      </c>
      <c r="BJ132" s="526">
        <v>199.85</v>
      </c>
      <c r="BK132" s="529">
        <v>279.77999999999997</v>
      </c>
      <c r="BL132" s="253"/>
    </row>
    <row r="133" spans="1:64" ht="23.25">
      <c r="A133" s="269">
        <v>125</v>
      </c>
      <c r="B133" s="1437">
        <f t="shared" si="2"/>
        <v>169.35</v>
      </c>
      <c r="C133" s="1438">
        <f t="shared" si="3"/>
        <v>237.1</v>
      </c>
      <c r="D133" s="279"/>
      <c r="E133" s="1413">
        <v>125</v>
      </c>
      <c r="F133" s="1411">
        <v>156.5</v>
      </c>
      <c r="G133" s="1414">
        <v>219.11</v>
      </c>
      <c r="H133" s="1404"/>
      <c r="I133" s="1413">
        <v>125</v>
      </c>
      <c r="J133" s="1411">
        <v>159.72</v>
      </c>
      <c r="K133" s="1414">
        <v>223.6</v>
      </c>
      <c r="L133" s="279"/>
      <c r="M133" s="528">
        <v>125</v>
      </c>
      <c r="N133" s="569">
        <v>162.93</v>
      </c>
      <c r="O133" s="569">
        <v>228.1</v>
      </c>
      <c r="P133" s="253"/>
      <c r="Q133" s="528">
        <v>125</v>
      </c>
      <c r="R133" s="569">
        <v>166.14</v>
      </c>
      <c r="S133" s="569">
        <v>232.6</v>
      </c>
      <c r="T133" s="253"/>
      <c r="U133" s="528">
        <v>125</v>
      </c>
      <c r="V133" s="569">
        <v>169.35</v>
      </c>
      <c r="W133" s="569">
        <v>237.1</v>
      </c>
      <c r="X133" s="253"/>
      <c r="Y133" s="528">
        <v>125</v>
      </c>
      <c r="Z133" s="526">
        <v>172.57</v>
      </c>
      <c r="AA133" s="529">
        <v>241.59</v>
      </c>
      <c r="AB133" s="253"/>
      <c r="AC133" s="528">
        <v>125</v>
      </c>
      <c r="AD133" s="526">
        <v>175.78</v>
      </c>
      <c r="AE133" s="529">
        <v>246.09</v>
      </c>
      <c r="AF133" s="253"/>
      <c r="AG133" s="528">
        <v>125</v>
      </c>
      <c r="AH133" s="526">
        <v>178.99</v>
      </c>
      <c r="AI133" s="529">
        <v>250.59</v>
      </c>
      <c r="AJ133" s="253"/>
      <c r="AK133" s="528">
        <v>125</v>
      </c>
      <c r="AL133" s="526">
        <v>182.2</v>
      </c>
      <c r="AM133" s="529">
        <v>255.09</v>
      </c>
      <c r="AN133" s="253"/>
      <c r="AO133" s="528">
        <v>125</v>
      </c>
      <c r="AP133" s="526">
        <v>185.42</v>
      </c>
      <c r="AQ133" s="529">
        <v>259.58</v>
      </c>
      <c r="AR133" s="253"/>
      <c r="AS133" s="528">
        <v>125</v>
      </c>
      <c r="AT133" s="526">
        <v>188.63</v>
      </c>
      <c r="AU133" s="529">
        <v>264.08</v>
      </c>
      <c r="AV133" s="253"/>
      <c r="AW133" s="528">
        <v>125</v>
      </c>
      <c r="AX133" s="526">
        <v>191.84</v>
      </c>
      <c r="AY133" s="529">
        <v>268.58</v>
      </c>
      <c r="AZ133" s="253"/>
      <c r="BA133" s="528">
        <v>125</v>
      </c>
      <c r="BB133" s="526">
        <v>195.05</v>
      </c>
      <c r="BC133" s="529">
        <v>273.08</v>
      </c>
      <c r="BD133" s="253"/>
      <c r="BE133" s="528">
        <v>125</v>
      </c>
      <c r="BF133" s="526">
        <v>198.27</v>
      </c>
      <c r="BG133" s="529">
        <v>277.57</v>
      </c>
      <c r="BH133" s="253"/>
      <c r="BI133" s="528">
        <v>125</v>
      </c>
      <c r="BJ133" s="526">
        <v>201.48</v>
      </c>
      <c r="BK133" s="529">
        <v>282.07</v>
      </c>
      <c r="BL133" s="253"/>
    </row>
    <row r="134" spans="1:64" ht="23.25">
      <c r="A134" s="269">
        <v>126</v>
      </c>
      <c r="B134" s="1437">
        <f t="shared" si="2"/>
        <v>170.66</v>
      </c>
      <c r="C134" s="1438">
        <f t="shared" si="3"/>
        <v>238.93</v>
      </c>
      <c r="D134" s="279"/>
      <c r="E134" s="1413">
        <v>126</v>
      </c>
      <c r="F134" s="1411">
        <v>157.71</v>
      </c>
      <c r="G134" s="1414">
        <v>220.79</v>
      </c>
      <c r="H134" s="1404"/>
      <c r="I134" s="1413">
        <v>126</v>
      </c>
      <c r="J134" s="1411">
        <v>160.94999999999999</v>
      </c>
      <c r="K134" s="1414">
        <v>225.33</v>
      </c>
      <c r="L134" s="279"/>
      <c r="M134" s="528">
        <v>126</v>
      </c>
      <c r="N134" s="569">
        <v>164.19</v>
      </c>
      <c r="O134" s="569">
        <v>229.86</v>
      </c>
      <c r="P134" s="253"/>
      <c r="Q134" s="528">
        <v>126</v>
      </c>
      <c r="R134" s="569">
        <v>167.42</v>
      </c>
      <c r="S134" s="569">
        <v>234.39</v>
      </c>
      <c r="T134" s="253"/>
      <c r="U134" s="528">
        <v>126</v>
      </c>
      <c r="V134" s="569">
        <v>170.66</v>
      </c>
      <c r="W134" s="569">
        <v>238.93</v>
      </c>
      <c r="X134" s="253"/>
      <c r="Y134" s="528">
        <v>126</v>
      </c>
      <c r="Z134" s="526">
        <v>173.9</v>
      </c>
      <c r="AA134" s="529">
        <v>243.46</v>
      </c>
      <c r="AB134" s="253"/>
      <c r="AC134" s="528">
        <v>126</v>
      </c>
      <c r="AD134" s="526">
        <v>177.14</v>
      </c>
      <c r="AE134" s="529">
        <v>247.99</v>
      </c>
      <c r="AF134" s="253"/>
      <c r="AG134" s="528">
        <v>126</v>
      </c>
      <c r="AH134" s="526">
        <v>180.38</v>
      </c>
      <c r="AI134" s="529">
        <v>252.53</v>
      </c>
      <c r="AJ134" s="253"/>
      <c r="AK134" s="528">
        <v>126</v>
      </c>
      <c r="AL134" s="526">
        <v>183.61</v>
      </c>
      <c r="AM134" s="529">
        <v>257.06</v>
      </c>
      <c r="AN134" s="253"/>
      <c r="AO134" s="528">
        <v>126</v>
      </c>
      <c r="AP134" s="526">
        <v>186.85</v>
      </c>
      <c r="AQ134" s="529">
        <v>261.58999999999997</v>
      </c>
      <c r="AR134" s="253"/>
      <c r="AS134" s="528">
        <v>126</v>
      </c>
      <c r="AT134" s="526">
        <v>190.09</v>
      </c>
      <c r="AU134" s="529">
        <v>266.13</v>
      </c>
      <c r="AV134" s="253"/>
      <c r="AW134" s="528">
        <v>126</v>
      </c>
      <c r="AX134" s="526">
        <v>193.33</v>
      </c>
      <c r="AY134" s="529">
        <v>270.66000000000003</v>
      </c>
      <c r="AZ134" s="253"/>
      <c r="BA134" s="528">
        <v>126</v>
      </c>
      <c r="BB134" s="526">
        <v>196.57</v>
      </c>
      <c r="BC134" s="529">
        <v>275.19</v>
      </c>
      <c r="BD134" s="253"/>
      <c r="BE134" s="528">
        <v>126</v>
      </c>
      <c r="BF134" s="526">
        <v>199.81</v>
      </c>
      <c r="BG134" s="529">
        <v>279.73</v>
      </c>
      <c r="BH134" s="253"/>
      <c r="BI134" s="528">
        <v>126</v>
      </c>
      <c r="BJ134" s="526">
        <v>203.04</v>
      </c>
      <c r="BK134" s="529">
        <v>284.26</v>
      </c>
      <c r="BL134" s="253"/>
    </row>
    <row r="135" spans="1:64" ht="23.25">
      <c r="A135" s="269">
        <v>127</v>
      </c>
      <c r="B135" s="1437">
        <f t="shared" si="2"/>
        <v>172.04</v>
      </c>
      <c r="C135" s="1438">
        <f t="shared" si="3"/>
        <v>240.86</v>
      </c>
      <c r="D135" s="279"/>
      <c r="E135" s="1413">
        <v>127</v>
      </c>
      <c r="F135" s="1411">
        <v>158.99</v>
      </c>
      <c r="G135" s="1414">
        <v>222.58</v>
      </c>
      <c r="H135" s="1404"/>
      <c r="I135" s="1413">
        <v>127</v>
      </c>
      <c r="J135" s="1411">
        <v>162.25</v>
      </c>
      <c r="K135" s="1414">
        <v>227.15</v>
      </c>
      <c r="L135" s="279"/>
      <c r="M135" s="528">
        <v>127</v>
      </c>
      <c r="N135" s="569">
        <v>165.51</v>
      </c>
      <c r="O135" s="569">
        <v>231.72</v>
      </c>
      <c r="P135" s="253"/>
      <c r="Q135" s="528">
        <v>127</v>
      </c>
      <c r="R135" s="569">
        <v>168.78</v>
      </c>
      <c r="S135" s="569">
        <v>236.29</v>
      </c>
      <c r="T135" s="253"/>
      <c r="U135" s="528">
        <v>127</v>
      </c>
      <c r="V135" s="569">
        <v>172.04</v>
      </c>
      <c r="W135" s="569">
        <v>240.86</v>
      </c>
      <c r="X135" s="253"/>
      <c r="Y135" s="528">
        <v>127</v>
      </c>
      <c r="Z135" s="526">
        <v>175.31</v>
      </c>
      <c r="AA135" s="529">
        <v>245.43</v>
      </c>
      <c r="AB135" s="253"/>
      <c r="AC135" s="528">
        <v>127</v>
      </c>
      <c r="AD135" s="526">
        <v>178.57</v>
      </c>
      <c r="AE135" s="529">
        <v>250</v>
      </c>
      <c r="AF135" s="253"/>
      <c r="AG135" s="528">
        <v>127</v>
      </c>
      <c r="AH135" s="526">
        <v>181.83</v>
      </c>
      <c r="AI135" s="529">
        <v>254.57</v>
      </c>
      <c r="AJ135" s="253"/>
      <c r="AK135" s="528">
        <v>127</v>
      </c>
      <c r="AL135" s="526">
        <v>185.1</v>
      </c>
      <c r="AM135" s="529">
        <v>259.14</v>
      </c>
      <c r="AN135" s="253"/>
      <c r="AO135" s="528">
        <v>127</v>
      </c>
      <c r="AP135" s="526">
        <v>188.36</v>
      </c>
      <c r="AQ135" s="529">
        <v>263.70999999999998</v>
      </c>
      <c r="AR135" s="253"/>
      <c r="AS135" s="528">
        <v>127</v>
      </c>
      <c r="AT135" s="526">
        <v>191.63</v>
      </c>
      <c r="AU135" s="529">
        <v>268.27999999999997</v>
      </c>
      <c r="AV135" s="253"/>
      <c r="AW135" s="528">
        <v>127</v>
      </c>
      <c r="AX135" s="526">
        <v>194.89</v>
      </c>
      <c r="AY135" s="529">
        <v>272.83999999999997</v>
      </c>
      <c r="AZ135" s="253"/>
      <c r="BA135" s="528">
        <v>127</v>
      </c>
      <c r="BB135" s="526">
        <v>198.15</v>
      </c>
      <c r="BC135" s="529">
        <v>277.41000000000003</v>
      </c>
      <c r="BD135" s="253"/>
      <c r="BE135" s="528">
        <v>127</v>
      </c>
      <c r="BF135" s="526">
        <v>201.42</v>
      </c>
      <c r="BG135" s="529">
        <v>281.98</v>
      </c>
      <c r="BH135" s="253"/>
      <c r="BI135" s="528">
        <v>127</v>
      </c>
      <c r="BJ135" s="526">
        <v>204.68</v>
      </c>
      <c r="BK135" s="529">
        <v>286.55</v>
      </c>
      <c r="BL135" s="253"/>
    </row>
    <row r="136" spans="1:64" ht="23.25">
      <c r="A136" s="269">
        <v>128</v>
      </c>
      <c r="B136" s="1437">
        <f t="shared" si="2"/>
        <v>173.42</v>
      </c>
      <c r="C136" s="1438">
        <f t="shared" si="3"/>
        <v>242.79</v>
      </c>
      <c r="D136" s="279"/>
      <c r="E136" s="1413">
        <v>128</v>
      </c>
      <c r="F136" s="1411">
        <v>160.27000000000001</v>
      </c>
      <c r="G136" s="1414">
        <v>224.37</v>
      </c>
      <c r="H136" s="1404"/>
      <c r="I136" s="1413">
        <v>128</v>
      </c>
      <c r="J136" s="1411">
        <v>163.56</v>
      </c>
      <c r="K136" s="1414">
        <v>228.98</v>
      </c>
      <c r="L136" s="279"/>
      <c r="M136" s="528">
        <v>128</v>
      </c>
      <c r="N136" s="569">
        <v>166.85</v>
      </c>
      <c r="O136" s="569">
        <v>233.58</v>
      </c>
      <c r="P136" s="253"/>
      <c r="Q136" s="528">
        <v>128</v>
      </c>
      <c r="R136" s="569">
        <v>170.13</v>
      </c>
      <c r="S136" s="569">
        <v>238.19</v>
      </c>
      <c r="T136" s="253"/>
      <c r="U136" s="528">
        <v>128</v>
      </c>
      <c r="V136" s="569">
        <v>173.42</v>
      </c>
      <c r="W136" s="569">
        <v>242.79</v>
      </c>
      <c r="X136" s="253"/>
      <c r="Y136" s="528">
        <v>128</v>
      </c>
      <c r="Z136" s="526">
        <v>176.71</v>
      </c>
      <c r="AA136" s="529">
        <v>247.4</v>
      </c>
      <c r="AB136" s="253"/>
      <c r="AC136" s="528">
        <v>128</v>
      </c>
      <c r="AD136" s="526">
        <v>180</v>
      </c>
      <c r="AE136" s="529">
        <v>252.01</v>
      </c>
      <c r="AF136" s="253"/>
      <c r="AG136" s="528">
        <v>128</v>
      </c>
      <c r="AH136" s="526">
        <v>183.29</v>
      </c>
      <c r="AI136" s="529">
        <v>256.61</v>
      </c>
      <c r="AJ136" s="253"/>
      <c r="AK136" s="528">
        <v>128</v>
      </c>
      <c r="AL136" s="526">
        <v>186.58</v>
      </c>
      <c r="AM136" s="529">
        <v>261.22000000000003</v>
      </c>
      <c r="AN136" s="253"/>
      <c r="AO136" s="528">
        <v>128</v>
      </c>
      <c r="AP136" s="526">
        <v>189.87</v>
      </c>
      <c r="AQ136" s="529">
        <v>265.82</v>
      </c>
      <c r="AR136" s="253"/>
      <c r="AS136" s="528">
        <v>128</v>
      </c>
      <c r="AT136" s="526">
        <v>193.16</v>
      </c>
      <c r="AU136" s="529">
        <v>270.43</v>
      </c>
      <c r="AV136" s="253"/>
      <c r="AW136" s="528">
        <v>128</v>
      </c>
      <c r="AX136" s="526">
        <v>196.45</v>
      </c>
      <c r="AY136" s="529">
        <v>275.02999999999997</v>
      </c>
      <c r="AZ136" s="253"/>
      <c r="BA136" s="528">
        <v>128</v>
      </c>
      <c r="BB136" s="526">
        <v>199.74</v>
      </c>
      <c r="BC136" s="529">
        <v>279.64</v>
      </c>
      <c r="BD136" s="253"/>
      <c r="BE136" s="528">
        <v>128</v>
      </c>
      <c r="BF136" s="526">
        <v>203.03</v>
      </c>
      <c r="BG136" s="529">
        <v>284.24</v>
      </c>
      <c r="BH136" s="253"/>
      <c r="BI136" s="528">
        <v>128</v>
      </c>
      <c r="BJ136" s="526">
        <v>206.32</v>
      </c>
      <c r="BK136" s="529">
        <v>288.85000000000002</v>
      </c>
      <c r="BL136" s="253"/>
    </row>
    <row r="137" spans="1:64" ht="23.25">
      <c r="A137" s="269">
        <v>129</v>
      </c>
      <c r="B137" s="1437">
        <f t="shared" si="2"/>
        <v>174.74</v>
      </c>
      <c r="C137" s="1438">
        <f t="shared" si="3"/>
        <v>244.63</v>
      </c>
      <c r="D137" s="279"/>
      <c r="E137" s="1413">
        <v>129</v>
      </c>
      <c r="F137" s="1411">
        <v>161.47</v>
      </c>
      <c r="G137" s="1414">
        <v>226.06</v>
      </c>
      <c r="H137" s="1404"/>
      <c r="I137" s="1413">
        <v>129</v>
      </c>
      <c r="J137" s="1411">
        <v>164.79</v>
      </c>
      <c r="K137" s="1414">
        <v>230.71</v>
      </c>
      <c r="L137" s="279"/>
      <c r="M137" s="528">
        <v>129</v>
      </c>
      <c r="N137" s="569">
        <v>168.1</v>
      </c>
      <c r="O137" s="569">
        <v>235.35</v>
      </c>
      <c r="P137" s="253"/>
      <c r="Q137" s="528">
        <v>129</v>
      </c>
      <c r="R137" s="569">
        <v>171.42</v>
      </c>
      <c r="S137" s="569">
        <v>239.99</v>
      </c>
      <c r="T137" s="253"/>
      <c r="U137" s="528">
        <v>129</v>
      </c>
      <c r="V137" s="569">
        <v>174.74</v>
      </c>
      <c r="W137" s="569">
        <v>244.63</v>
      </c>
      <c r="X137" s="253"/>
      <c r="Y137" s="528">
        <v>129</v>
      </c>
      <c r="Z137" s="526">
        <v>178.05</v>
      </c>
      <c r="AA137" s="529">
        <v>249.27</v>
      </c>
      <c r="AB137" s="253"/>
      <c r="AC137" s="528">
        <v>129</v>
      </c>
      <c r="AD137" s="526">
        <v>181.37</v>
      </c>
      <c r="AE137" s="529">
        <v>253.91</v>
      </c>
      <c r="AF137" s="253"/>
      <c r="AG137" s="528">
        <v>129</v>
      </c>
      <c r="AH137" s="526">
        <v>184.68</v>
      </c>
      <c r="AI137" s="529">
        <v>258.55</v>
      </c>
      <c r="AJ137" s="253"/>
      <c r="AK137" s="528">
        <v>129</v>
      </c>
      <c r="AL137" s="526">
        <v>188</v>
      </c>
      <c r="AM137" s="529">
        <v>263.2</v>
      </c>
      <c r="AN137" s="253"/>
      <c r="AO137" s="528">
        <v>129</v>
      </c>
      <c r="AP137" s="526">
        <v>191.31</v>
      </c>
      <c r="AQ137" s="529">
        <v>267.83999999999997</v>
      </c>
      <c r="AR137" s="253"/>
      <c r="AS137" s="528">
        <v>129</v>
      </c>
      <c r="AT137" s="526">
        <v>194.63</v>
      </c>
      <c r="AU137" s="529">
        <v>272.48</v>
      </c>
      <c r="AV137" s="253"/>
      <c r="AW137" s="528">
        <v>129</v>
      </c>
      <c r="AX137" s="526">
        <v>197.94</v>
      </c>
      <c r="AY137" s="529">
        <v>277.12</v>
      </c>
      <c r="AZ137" s="253"/>
      <c r="BA137" s="528">
        <v>129</v>
      </c>
      <c r="BB137" s="526">
        <v>201.26</v>
      </c>
      <c r="BC137" s="529">
        <v>281.76</v>
      </c>
      <c r="BD137" s="253"/>
      <c r="BE137" s="528">
        <v>129</v>
      </c>
      <c r="BF137" s="526">
        <v>204.57</v>
      </c>
      <c r="BG137" s="529">
        <v>286.39999999999998</v>
      </c>
      <c r="BH137" s="253"/>
      <c r="BI137" s="528">
        <v>129</v>
      </c>
      <c r="BJ137" s="526">
        <v>207.89</v>
      </c>
      <c r="BK137" s="529">
        <v>291.04000000000002</v>
      </c>
      <c r="BL137" s="253"/>
    </row>
    <row r="138" spans="1:64" ht="23.25">
      <c r="A138" s="269">
        <v>130</v>
      </c>
      <c r="B138" s="1437">
        <f t="shared" ref="B138:B201" si="4">IF($C$5=$G$5,F138,IF($C$5=$K$5,J138,IF($C$5=$O$5,N138,IF($C$5=$S$5,R138,IF($C$5=$W$5,V138,IF($C$5=$AA$5,Z138,IF($C$5=$AE$5,AD138,IF($C$5=$AI$5,AH138,IF($C$5=$AM$5,AL138,IF($C$5=$AQ$5,AP138,IF($C$5=$AU$5,AT138,IF($C$5=$AY$5,AX138,IF($C$5=$BC$5,BB138,IF($C$5=$BG$5,BF138,IF($C$5=$BK$5,BJ138,0)))))))))))))))</f>
        <v>176.12</v>
      </c>
      <c r="C138" s="1438">
        <f t="shared" ref="C138:C201" si="5">IF($C$5=$G$5,G138,IF($C$5=$K$5,K138,IF($C$5=$O$5,O138,IF($C$5=$S$5,S138,IF($C$5=$W$5,W138,IF($C$5=$AA$5,AA138,IF($C$5=$AE$5,AE138,IF($C$5=$AI$5,AI138,IF($C$5=$AM$5,AM138,IF($C$5=$AQ$5,AQ138,IF($C$5=$AU$5,AU138,IF($C$5=$AY$5,AY138,IF($C$5=$BC$5,BC138,IF($C$5=$BG$5,BG138,IF($C$5=$BK$5,BK138,0)))))))))))))))</f>
        <v>246.57</v>
      </c>
      <c r="D138" s="279"/>
      <c r="E138" s="1413">
        <v>130</v>
      </c>
      <c r="F138" s="1411">
        <v>162.76</v>
      </c>
      <c r="G138" s="1414">
        <v>227.86</v>
      </c>
      <c r="H138" s="1404"/>
      <c r="I138" s="1413">
        <v>130</v>
      </c>
      <c r="J138" s="1411">
        <v>166.1</v>
      </c>
      <c r="K138" s="1414">
        <v>232.54</v>
      </c>
      <c r="L138" s="279"/>
      <c r="M138" s="528">
        <v>130</v>
      </c>
      <c r="N138" s="569">
        <v>169.44</v>
      </c>
      <c r="O138" s="569">
        <v>237.22</v>
      </c>
      <c r="P138" s="253"/>
      <c r="Q138" s="528">
        <v>130</v>
      </c>
      <c r="R138" s="569">
        <v>172.78</v>
      </c>
      <c r="S138" s="569">
        <v>241.89</v>
      </c>
      <c r="T138" s="253"/>
      <c r="U138" s="528">
        <v>130</v>
      </c>
      <c r="V138" s="569">
        <v>176.12</v>
      </c>
      <c r="W138" s="569">
        <v>246.57</v>
      </c>
      <c r="X138" s="253"/>
      <c r="Y138" s="528">
        <v>130</v>
      </c>
      <c r="Z138" s="526">
        <v>179.46</v>
      </c>
      <c r="AA138" s="529">
        <v>251.25</v>
      </c>
      <c r="AB138" s="253"/>
      <c r="AC138" s="528">
        <v>130</v>
      </c>
      <c r="AD138" s="526">
        <v>182.8</v>
      </c>
      <c r="AE138" s="529">
        <v>255.93</v>
      </c>
      <c r="AF138" s="253"/>
      <c r="AG138" s="528">
        <v>130</v>
      </c>
      <c r="AH138" s="526">
        <v>186.15</v>
      </c>
      <c r="AI138" s="529">
        <v>260.60000000000002</v>
      </c>
      <c r="AJ138" s="253"/>
      <c r="AK138" s="528">
        <v>130</v>
      </c>
      <c r="AL138" s="526">
        <v>189.49</v>
      </c>
      <c r="AM138" s="529">
        <v>265.27999999999997</v>
      </c>
      <c r="AN138" s="253"/>
      <c r="AO138" s="528">
        <v>130</v>
      </c>
      <c r="AP138" s="526">
        <v>192.83</v>
      </c>
      <c r="AQ138" s="529">
        <v>269.95999999999998</v>
      </c>
      <c r="AR138" s="253"/>
      <c r="AS138" s="528">
        <v>130</v>
      </c>
      <c r="AT138" s="526">
        <v>196.17</v>
      </c>
      <c r="AU138" s="529">
        <v>274.64</v>
      </c>
      <c r="AV138" s="253"/>
      <c r="AW138" s="528">
        <v>130</v>
      </c>
      <c r="AX138" s="526">
        <v>199.51</v>
      </c>
      <c r="AY138" s="529">
        <v>279.31</v>
      </c>
      <c r="AZ138" s="253"/>
      <c r="BA138" s="528">
        <v>130</v>
      </c>
      <c r="BB138" s="526">
        <v>202.85</v>
      </c>
      <c r="BC138" s="529">
        <v>283.99</v>
      </c>
      <c r="BD138" s="253"/>
      <c r="BE138" s="528">
        <v>130</v>
      </c>
      <c r="BF138" s="526">
        <v>206.19</v>
      </c>
      <c r="BG138" s="529">
        <v>288.67</v>
      </c>
      <c r="BH138" s="253"/>
      <c r="BI138" s="528">
        <v>130</v>
      </c>
      <c r="BJ138" s="526">
        <v>209.53</v>
      </c>
      <c r="BK138" s="529">
        <v>293.35000000000002</v>
      </c>
      <c r="BL138" s="253"/>
    </row>
    <row r="139" spans="1:64" ht="23.25">
      <c r="A139" s="269">
        <v>131</v>
      </c>
      <c r="B139" s="1437">
        <f t="shared" si="4"/>
        <v>177.44</v>
      </c>
      <c r="C139" s="1438">
        <f t="shared" si="5"/>
        <v>248.41</v>
      </c>
      <c r="D139" s="279"/>
      <c r="E139" s="1413">
        <v>131</v>
      </c>
      <c r="F139" s="1411">
        <v>163.97</v>
      </c>
      <c r="G139" s="1414">
        <v>229.56</v>
      </c>
      <c r="H139" s="1404"/>
      <c r="I139" s="1413">
        <v>131</v>
      </c>
      <c r="J139" s="1411">
        <v>167.34</v>
      </c>
      <c r="K139" s="1414">
        <v>234.27</v>
      </c>
      <c r="L139" s="279"/>
      <c r="M139" s="528">
        <v>131</v>
      </c>
      <c r="N139" s="569">
        <v>170.7</v>
      </c>
      <c r="O139" s="569">
        <v>238.98</v>
      </c>
      <c r="P139" s="253"/>
      <c r="Q139" s="528">
        <v>131</v>
      </c>
      <c r="R139" s="569">
        <v>174.07</v>
      </c>
      <c r="S139" s="569">
        <v>243.7</v>
      </c>
      <c r="T139" s="253"/>
      <c r="U139" s="528">
        <v>131</v>
      </c>
      <c r="V139" s="569">
        <v>177.44</v>
      </c>
      <c r="W139" s="569">
        <v>248.41</v>
      </c>
      <c r="X139" s="253"/>
      <c r="Y139" s="528">
        <v>131</v>
      </c>
      <c r="Z139" s="526">
        <v>180.8</v>
      </c>
      <c r="AA139" s="529">
        <v>253.12</v>
      </c>
      <c r="AB139" s="253"/>
      <c r="AC139" s="528">
        <v>131</v>
      </c>
      <c r="AD139" s="526">
        <v>184.17</v>
      </c>
      <c r="AE139" s="529">
        <v>257.83999999999997</v>
      </c>
      <c r="AF139" s="253"/>
      <c r="AG139" s="528">
        <v>131</v>
      </c>
      <c r="AH139" s="526">
        <v>187.54</v>
      </c>
      <c r="AI139" s="529">
        <v>262.55</v>
      </c>
      <c r="AJ139" s="253"/>
      <c r="AK139" s="528">
        <v>131</v>
      </c>
      <c r="AL139" s="526">
        <v>190.9</v>
      </c>
      <c r="AM139" s="529">
        <v>267.26</v>
      </c>
      <c r="AN139" s="253"/>
      <c r="AO139" s="528">
        <v>131</v>
      </c>
      <c r="AP139" s="526">
        <v>194.27</v>
      </c>
      <c r="AQ139" s="529">
        <v>271.98</v>
      </c>
      <c r="AR139" s="253"/>
      <c r="AS139" s="528">
        <v>131</v>
      </c>
      <c r="AT139" s="526">
        <v>197.64</v>
      </c>
      <c r="AU139" s="529">
        <v>276.69</v>
      </c>
      <c r="AV139" s="253"/>
      <c r="AW139" s="528">
        <v>131</v>
      </c>
      <c r="AX139" s="526">
        <v>201</v>
      </c>
      <c r="AY139" s="529">
        <v>281.39999999999998</v>
      </c>
      <c r="AZ139" s="253"/>
      <c r="BA139" s="528">
        <v>131</v>
      </c>
      <c r="BB139" s="526">
        <v>204.37</v>
      </c>
      <c r="BC139" s="529">
        <v>286.12</v>
      </c>
      <c r="BD139" s="253"/>
      <c r="BE139" s="528">
        <v>131</v>
      </c>
      <c r="BF139" s="526">
        <v>207.74</v>
      </c>
      <c r="BG139" s="529">
        <v>290.83</v>
      </c>
      <c r="BH139" s="253"/>
      <c r="BI139" s="528">
        <v>131</v>
      </c>
      <c r="BJ139" s="526">
        <v>211.1</v>
      </c>
      <c r="BK139" s="529">
        <v>295.54000000000002</v>
      </c>
      <c r="BL139" s="253"/>
    </row>
    <row r="140" spans="1:64" ht="23.25">
      <c r="A140" s="269">
        <v>132</v>
      </c>
      <c r="B140" s="1437">
        <f t="shared" si="4"/>
        <v>178.75</v>
      </c>
      <c r="C140" s="1438">
        <f t="shared" si="5"/>
        <v>250.25</v>
      </c>
      <c r="D140" s="279"/>
      <c r="E140" s="1413">
        <v>132</v>
      </c>
      <c r="F140" s="1411">
        <v>165.18</v>
      </c>
      <c r="G140" s="1414">
        <v>231.25</v>
      </c>
      <c r="H140" s="1404"/>
      <c r="I140" s="1413">
        <v>132</v>
      </c>
      <c r="J140" s="1411">
        <v>168.57</v>
      </c>
      <c r="K140" s="1414">
        <v>236</v>
      </c>
      <c r="L140" s="279"/>
      <c r="M140" s="528">
        <v>132</v>
      </c>
      <c r="N140" s="569">
        <v>171.96</v>
      </c>
      <c r="O140" s="569">
        <v>240.75</v>
      </c>
      <c r="P140" s="253"/>
      <c r="Q140" s="528">
        <v>132</v>
      </c>
      <c r="R140" s="569">
        <v>175.36</v>
      </c>
      <c r="S140" s="569">
        <v>245.5</v>
      </c>
      <c r="T140" s="253"/>
      <c r="U140" s="528">
        <v>132</v>
      </c>
      <c r="V140" s="569">
        <v>178.75</v>
      </c>
      <c r="W140" s="569">
        <v>250.25</v>
      </c>
      <c r="X140" s="253"/>
      <c r="Y140" s="528">
        <v>132</v>
      </c>
      <c r="Z140" s="526">
        <v>182.14</v>
      </c>
      <c r="AA140" s="529">
        <v>255</v>
      </c>
      <c r="AB140" s="253"/>
      <c r="AC140" s="528">
        <v>132</v>
      </c>
      <c r="AD140" s="526">
        <v>185.53</v>
      </c>
      <c r="AE140" s="529">
        <v>259.75</v>
      </c>
      <c r="AF140" s="253"/>
      <c r="AG140" s="528">
        <v>132</v>
      </c>
      <c r="AH140" s="526">
        <v>188.93</v>
      </c>
      <c r="AI140" s="529">
        <v>264.5</v>
      </c>
      <c r="AJ140" s="253"/>
      <c r="AK140" s="528">
        <v>132</v>
      </c>
      <c r="AL140" s="526">
        <v>192.32</v>
      </c>
      <c r="AM140" s="529">
        <v>269.25</v>
      </c>
      <c r="AN140" s="253"/>
      <c r="AO140" s="528">
        <v>132</v>
      </c>
      <c r="AP140" s="526">
        <v>195.71</v>
      </c>
      <c r="AQ140" s="529">
        <v>274</v>
      </c>
      <c r="AR140" s="253"/>
      <c r="AS140" s="528">
        <v>132</v>
      </c>
      <c r="AT140" s="526">
        <v>199.1</v>
      </c>
      <c r="AU140" s="529">
        <v>278.75</v>
      </c>
      <c r="AV140" s="253"/>
      <c r="AW140" s="528">
        <v>132</v>
      </c>
      <c r="AX140" s="526">
        <v>202.5</v>
      </c>
      <c r="AY140" s="529">
        <v>283.49</v>
      </c>
      <c r="AZ140" s="253"/>
      <c r="BA140" s="528">
        <v>132</v>
      </c>
      <c r="BB140" s="526">
        <v>205.89</v>
      </c>
      <c r="BC140" s="529">
        <v>288.24</v>
      </c>
      <c r="BD140" s="253"/>
      <c r="BE140" s="528">
        <v>132</v>
      </c>
      <c r="BF140" s="526">
        <v>209.28</v>
      </c>
      <c r="BG140" s="529">
        <v>292.99</v>
      </c>
      <c r="BH140" s="253"/>
      <c r="BI140" s="528">
        <v>132</v>
      </c>
      <c r="BJ140" s="526">
        <v>212.67</v>
      </c>
      <c r="BK140" s="529">
        <v>297.74</v>
      </c>
      <c r="BL140" s="253"/>
    </row>
    <row r="141" spans="1:64" ht="23.25">
      <c r="A141" s="269">
        <v>133</v>
      </c>
      <c r="B141" s="1437">
        <f t="shared" si="4"/>
        <v>180.14</v>
      </c>
      <c r="C141" s="1438">
        <f t="shared" si="5"/>
        <v>252.2</v>
      </c>
      <c r="D141" s="279"/>
      <c r="E141" s="1413">
        <v>133</v>
      </c>
      <c r="F141" s="1411">
        <v>166.47</v>
      </c>
      <c r="G141" s="1414">
        <v>233.06</v>
      </c>
      <c r="H141" s="1404"/>
      <c r="I141" s="1413">
        <v>133</v>
      </c>
      <c r="J141" s="1411">
        <v>169.89</v>
      </c>
      <c r="K141" s="1414">
        <v>237.84</v>
      </c>
      <c r="L141" s="279"/>
      <c r="M141" s="528">
        <v>133</v>
      </c>
      <c r="N141" s="569">
        <v>173.31</v>
      </c>
      <c r="O141" s="569">
        <v>242.63</v>
      </c>
      <c r="P141" s="253"/>
      <c r="Q141" s="528">
        <v>133</v>
      </c>
      <c r="R141" s="569">
        <v>176.72</v>
      </c>
      <c r="S141" s="569">
        <v>247.41</v>
      </c>
      <c r="T141" s="253"/>
      <c r="U141" s="528">
        <v>133</v>
      </c>
      <c r="V141" s="569">
        <v>180.14</v>
      </c>
      <c r="W141" s="569">
        <v>252.2</v>
      </c>
      <c r="X141" s="253"/>
      <c r="Y141" s="528">
        <v>133</v>
      </c>
      <c r="Z141" s="526">
        <v>183.56</v>
      </c>
      <c r="AA141" s="529">
        <v>256.99</v>
      </c>
      <c r="AB141" s="253"/>
      <c r="AC141" s="528">
        <v>133</v>
      </c>
      <c r="AD141" s="526">
        <v>186.98</v>
      </c>
      <c r="AE141" s="529">
        <v>261.77</v>
      </c>
      <c r="AF141" s="253"/>
      <c r="AG141" s="528">
        <v>133</v>
      </c>
      <c r="AH141" s="526">
        <v>190.4</v>
      </c>
      <c r="AI141" s="529">
        <v>266.56</v>
      </c>
      <c r="AJ141" s="253"/>
      <c r="AK141" s="528">
        <v>133</v>
      </c>
      <c r="AL141" s="526">
        <v>193.82</v>
      </c>
      <c r="AM141" s="529">
        <v>271.33999999999997</v>
      </c>
      <c r="AN141" s="253"/>
      <c r="AO141" s="528">
        <v>133</v>
      </c>
      <c r="AP141" s="526">
        <v>197.23</v>
      </c>
      <c r="AQ141" s="529">
        <v>276.13</v>
      </c>
      <c r="AR141" s="253"/>
      <c r="AS141" s="528">
        <v>133</v>
      </c>
      <c r="AT141" s="526">
        <v>200.65</v>
      </c>
      <c r="AU141" s="529">
        <v>280.91000000000003</v>
      </c>
      <c r="AV141" s="253"/>
      <c r="AW141" s="528">
        <v>133</v>
      </c>
      <c r="AX141" s="526">
        <v>204.07</v>
      </c>
      <c r="AY141" s="529">
        <v>285.7</v>
      </c>
      <c r="AZ141" s="253"/>
      <c r="BA141" s="528">
        <v>133</v>
      </c>
      <c r="BB141" s="526">
        <v>207.49</v>
      </c>
      <c r="BC141" s="529">
        <v>290.48</v>
      </c>
      <c r="BD141" s="253"/>
      <c r="BE141" s="528">
        <v>133</v>
      </c>
      <c r="BF141" s="526">
        <v>210.91</v>
      </c>
      <c r="BG141" s="529">
        <v>295.27</v>
      </c>
      <c r="BH141" s="253"/>
      <c r="BI141" s="528">
        <v>133</v>
      </c>
      <c r="BJ141" s="526">
        <v>214.32</v>
      </c>
      <c r="BK141" s="529">
        <v>300.05</v>
      </c>
      <c r="BL141" s="253"/>
    </row>
    <row r="142" spans="1:64" ht="23.25">
      <c r="A142" s="269">
        <v>134</v>
      </c>
      <c r="B142" s="1437">
        <f t="shared" si="4"/>
        <v>181.46</v>
      </c>
      <c r="C142" s="1438">
        <f t="shared" si="5"/>
        <v>254.04</v>
      </c>
      <c r="D142" s="279"/>
      <c r="E142" s="1413">
        <v>134</v>
      </c>
      <c r="F142" s="1411">
        <v>167.68</v>
      </c>
      <c r="G142" s="1414">
        <v>234.76</v>
      </c>
      <c r="H142" s="1404"/>
      <c r="I142" s="1413">
        <v>134</v>
      </c>
      <c r="J142" s="1411">
        <v>171.13</v>
      </c>
      <c r="K142" s="1414">
        <v>239.58</v>
      </c>
      <c r="L142" s="279"/>
      <c r="M142" s="528">
        <v>134</v>
      </c>
      <c r="N142" s="569">
        <v>174.57</v>
      </c>
      <c r="O142" s="569">
        <v>244.4</v>
      </c>
      <c r="P142" s="253"/>
      <c r="Q142" s="528">
        <v>134</v>
      </c>
      <c r="R142" s="569">
        <v>178.01</v>
      </c>
      <c r="S142" s="569">
        <v>249.22</v>
      </c>
      <c r="T142" s="253"/>
      <c r="U142" s="528">
        <v>134</v>
      </c>
      <c r="V142" s="569">
        <v>181.46</v>
      </c>
      <c r="W142" s="569">
        <v>254.04</v>
      </c>
      <c r="X142" s="253"/>
      <c r="Y142" s="528">
        <v>134</v>
      </c>
      <c r="Z142" s="526">
        <v>184.9</v>
      </c>
      <c r="AA142" s="529">
        <v>258.86</v>
      </c>
      <c r="AB142" s="253"/>
      <c r="AC142" s="528">
        <v>134</v>
      </c>
      <c r="AD142" s="526">
        <v>188.35</v>
      </c>
      <c r="AE142" s="529">
        <v>263.68</v>
      </c>
      <c r="AF142" s="253"/>
      <c r="AG142" s="528">
        <v>134</v>
      </c>
      <c r="AH142" s="526">
        <v>191.79</v>
      </c>
      <c r="AI142" s="529">
        <v>268.51</v>
      </c>
      <c r="AJ142" s="253"/>
      <c r="AK142" s="528">
        <v>134</v>
      </c>
      <c r="AL142" s="526">
        <v>195.23</v>
      </c>
      <c r="AM142" s="529">
        <v>273.33</v>
      </c>
      <c r="AN142" s="253"/>
      <c r="AO142" s="528">
        <v>134</v>
      </c>
      <c r="AP142" s="526">
        <v>198.68</v>
      </c>
      <c r="AQ142" s="529">
        <v>278.14999999999998</v>
      </c>
      <c r="AR142" s="253"/>
      <c r="AS142" s="528">
        <v>134</v>
      </c>
      <c r="AT142" s="526">
        <v>202.12</v>
      </c>
      <c r="AU142" s="529">
        <v>282.97000000000003</v>
      </c>
      <c r="AV142" s="253"/>
      <c r="AW142" s="528">
        <v>134</v>
      </c>
      <c r="AX142" s="526">
        <v>205.57</v>
      </c>
      <c r="AY142" s="529">
        <v>287.79000000000002</v>
      </c>
      <c r="AZ142" s="253"/>
      <c r="BA142" s="528">
        <v>134</v>
      </c>
      <c r="BB142" s="526">
        <v>209.01</v>
      </c>
      <c r="BC142" s="529">
        <v>292.61</v>
      </c>
      <c r="BD142" s="253"/>
      <c r="BE142" s="528">
        <v>134</v>
      </c>
      <c r="BF142" s="526">
        <v>212.45</v>
      </c>
      <c r="BG142" s="529">
        <v>297.43</v>
      </c>
      <c r="BH142" s="253"/>
      <c r="BI142" s="528">
        <v>134</v>
      </c>
      <c r="BJ142" s="526">
        <v>215.9</v>
      </c>
      <c r="BK142" s="529">
        <v>302.26</v>
      </c>
      <c r="BL142" s="253"/>
    </row>
    <row r="143" spans="1:64" ht="23.25">
      <c r="A143" s="269">
        <v>135</v>
      </c>
      <c r="B143" s="1437">
        <f t="shared" si="4"/>
        <v>182.86</v>
      </c>
      <c r="C143" s="1438">
        <f t="shared" si="5"/>
        <v>256</v>
      </c>
      <c r="D143" s="279"/>
      <c r="E143" s="1413">
        <v>135</v>
      </c>
      <c r="F143" s="1411">
        <v>168.98</v>
      </c>
      <c r="G143" s="1414">
        <v>236.57</v>
      </c>
      <c r="H143" s="1404"/>
      <c r="I143" s="1413">
        <v>135</v>
      </c>
      <c r="J143" s="1411">
        <v>172.45</v>
      </c>
      <c r="K143" s="1414">
        <v>241.43</v>
      </c>
      <c r="L143" s="279"/>
      <c r="M143" s="528">
        <v>135</v>
      </c>
      <c r="N143" s="569">
        <v>175.92</v>
      </c>
      <c r="O143" s="569">
        <v>246.29</v>
      </c>
      <c r="P143" s="253"/>
      <c r="Q143" s="528">
        <v>135</v>
      </c>
      <c r="R143" s="569">
        <v>179.39</v>
      </c>
      <c r="S143" s="569">
        <v>251.14</v>
      </c>
      <c r="T143" s="253"/>
      <c r="U143" s="528">
        <v>135</v>
      </c>
      <c r="V143" s="569">
        <v>182.86</v>
      </c>
      <c r="W143" s="569">
        <v>256</v>
      </c>
      <c r="X143" s="253"/>
      <c r="Y143" s="528">
        <v>135</v>
      </c>
      <c r="Z143" s="526">
        <v>186.33</v>
      </c>
      <c r="AA143" s="529">
        <v>260.86</v>
      </c>
      <c r="AB143" s="253"/>
      <c r="AC143" s="528">
        <v>135</v>
      </c>
      <c r="AD143" s="526">
        <v>189.8</v>
      </c>
      <c r="AE143" s="529">
        <v>265.70999999999998</v>
      </c>
      <c r="AF143" s="253"/>
      <c r="AG143" s="528">
        <v>135</v>
      </c>
      <c r="AH143" s="526">
        <v>193.27</v>
      </c>
      <c r="AI143" s="529">
        <v>270.57</v>
      </c>
      <c r="AJ143" s="253"/>
      <c r="AK143" s="528">
        <v>135</v>
      </c>
      <c r="AL143" s="526">
        <v>196.74</v>
      </c>
      <c r="AM143" s="529">
        <v>275.43</v>
      </c>
      <c r="AN143" s="253"/>
      <c r="AO143" s="528">
        <v>135</v>
      </c>
      <c r="AP143" s="526">
        <v>200.2</v>
      </c>
      <c r="AQ143" s="529">
        <v>280.29000000000002</v>
      </c>
      <c r="AR143" s="253"/>
      <c r="AS143" s="528">
        <v>135</v>
      </c>
      <c r="AT143" s="526">
        <v>203.67</v>
      </c>
      <c r="AU143" s="529">
        <v>285.14</v>
      </c>
      <c r="AV143" s="253"/>
      <c r="AW143" s="528">
        <v>135</v>
      </c>
      <c r="AX143" s="526">
        <v>207.14</v>
      </c>
      <c r="AY143" s="529">
        <v>290</v>
      </c>
      <c r="AZ143" s="253"/>
      <c r="BA143" s="528">
        <v>135</v>
      </c>
      <c r="BB143" s="526">
        <v>210.61</v>
      </c>
      <c r="BC143" s="529">
        <v>294.86</v>
      </c>
      <c r="BD143" s="253"/>
      <c r="BE143" s="528">
        <v>135</v>
      </c>
      <c r="BF143" s="526">
        <v>214.08</v>
      </c>
      <c r="BG143" s="529">
        <v>299.72000000000003</v>
      </c>
      <c r="BH143" s="253"/>
      <c r="BI143" s="528">
        <v>135</v>
      </c>
      <c r="BJ143" s="526">
        <v>217.55</v>
      </c>
      <c r="BK143" s="529">
        <v>304.57</v>
      </c>
      <c r="BL143" s="253"/>
    </row>
    <row r="144" spans="1:64" ht="23.25">
      <c r="A144" s="269">
        <v>136</v>
      </c>
      <c r="B144" s="1437">
        <f t="shared" si="4"/>
        <v>184.18</v>
      </c>
      <c r="C144" s="1438">
        <f t="shared" si="5"/>
        <v>257.85000000000002</v>
      </c>
      <c r="D144" s="279"/>
      <c r="E144" s="1413">
        <v>136</v>
      </c>
      <c r="F144" s="1411">
        <v>170.19</v>
      </c>
      <c r="G144" s="1414">
        <v>238.27</v>
      </c>
      <c r="H144" s="1404"/>
      <c r="I144" s="1413">
        <v>136</v>
      </c>
      <c r="J144" s="1411">
        <v>173.69</v>
      </c>
      <c r="K144" s="1414">
        <v>243.17</v>
      </c>
      <c r="L144" s="279"/>
      <c r="M144" s="528">
        <v>136</v>
      </c>
      <c r="N144" s="569">
        <v>177.19</v>
      </c>
      <c r="O144" s="569">
        <v>248.06</v>
      </c>
      <c r="P144" s="253"/>
      <c r="Q144" s="528">
        <v>136</v>
      </c>
      <c r="R144" s="569">
        <v>180.68</v>
      </c>
      <c r="S144" s="569">
        <v>252.95</v>
      </c>
      <c r="T144" s="253"/>
      <c r="U144" s="528">
        <v>136</v>
      </c>
      <c r="V144" s="569">
        <v>184.18</v>
      </c>
      <c r="W144" s="569">
        <v>257.85000000000002</v>
      </c>
      <c r="X144" s="253"/>
      <c r="Y144" s="528">
        <v>136</v>
      </c>
      <c r="Z144" s="526">
        <v>187.67</v>
      </c>
      <c r="AA144" s="529">
        <v>262.74</v>
      </c>
      <c r="AB144" s="253"/>
      <c r="AC144" s="528">
        <v>136</v>
      </c>
      <c r="AD144" s="526">
        <v>191.17</v>
      </c>
      <c r="AE144" s="529">
        <v>267.63</v>
      </c>
      <c r="AF144" s="253"/>
      <c r="AG144" s="528">
        <v>136</v>
      </c>
      <c r="AH144" s="526">
        <v>194.66</v>
      </c>
      <c r="AI144" s="529">
        <v>272.52999999999997</v>
      </c>
      <c r="AJ144" s="253"/>
      <c r="AK144" s="528">
        <v>136</v>
      </c>
      <c r="AL144" s="526">
        <v>198.16</v>
      </c>
      <c r="AM144" s="529">
        <v>277.42</v>
      </c>
      <c r="AN144" s="253"/>
      <c r="AO144" s="528">
        <v>136</v>
      </c>
      <c r="AP144" s="526">
        <v>201.65</v>
      </c>
      <c r="AQ144" s="529">
        <v>282.31</v>
      </c>
      <c r="AR144" s="253"/>
      <c r="AS144" s="528">
        <v>136</v>
      </c>
      <c r="AT144" s="526">
        <v>205.15</v>
      </c>
      <c r="AU144" s="529">
        <v>287.20999999999998</v>
      </c>
      <c r="AV144" s="253"/>
      <c r="AW144" s="528">
        <v>136</v>
      </c>
      <c r="AX144" s="526">
        <v>208.64</v>
      </c>
      <c r="AY144" s="529">
        <v>292.10000000000002</v>
      </c>
      <c r="AZ144" s="253"/>
      <c r="BA144" s="528">
        <v>136</v>
      </c>
      <c r="BB144" s="526">
        <v>212.14</v>
      </c>
      <c r="BC144" s="529">
        <v>296.99</v>
      </c>
      <c r="BD144" s="253"/>
      <c r="BE144" s="528">
        <v>136</v>
      </c>
      <c r="BF144" s="526">
        <v>215.63</v>
      </c>
      <c r="BG144" s="529">
        <v>301.89</v>
      </c>
      <c r="BH144" s="253"/>
      <c r="BI144" s="528">
        <v>136</v>
      </c>
      <c r="BJ144" s="526">
        <v>219.13</v>
      </c>
      <c r="BK144" s="529">
        <v>306.77999999999997</v>
      </c>
      <c r="BL144" s="253"/>
    </row>
    <row r="145" spans="1:64" ht="23.25">
      <c r="A145" s="269">
        <v>137</v>
      </c>
      <c r="B145" s="1437">
        <f t="shared" si="4"/>
        <v>185.58</v>
      </c>
      <c r="C145" s="1438">
        <f t="shared" si="5"/>
        <v>259.81</v>
      </c>
      <c r="D145" s="279"/>
      <c r="E145" s="1413">
        <v>137</v>
      </c>
      <c r="F145" s="1411">
        <v>171.5</v>
      </c>
      <c r="G145" s="1414">
        <v>240.09</v>
      </c>
      <c r="H145" s="1404"/>
      <c r="I145" s="1413">
        <v>137</v>
      </c>
      <c r="J145" s="1411">
        <v>175.02</v>
      </c>
      <c r="K145" s="1414">
        <v>245.02</v>
      </c>
      <c r="L145" s="279"/>
      <c r="M145" s="528">
        <v>137</v>
      </c>
      <c r="N145" s="569">
        <v>178.54</v>
      </c>
      <c r="O145" s="569">
        <v>249.95</v>
      </c>
      <c r="P145" s="253"/>
      <c r="Q145" s="528">
        <v>137</v>
      </c>
      <c r="R145" s="569">
        <v>182.06</v>
      </c>
      <c r="S145" s="569">
        <v>254.88</v>
      </c>
      <c r="T145" s="253"/>
      <c r="U145" s="528">
        <v>137</v>
      </c>
      <c r="V145" s="569">
        <v>185.58</v>
      </c>
      <c r="W145" s="569">
        <v>259.81</v>
      </c>
      <c r="X145" s="253"/>
      <c r="Y145" s="528">
        <v>137</v>
      </c>
      <c r="Z145" s="526">
        <v>189.1</v>
      </c>
      <c r="AA145" s="529">
        <v>264.74</v>
      </c>
      <c r="AB145" s="253"/>
      <c r="AC145" s="528">
        <v>137</v>
      </c>
      <c r="AD145" s="526">
        <v>192.62</v>
      </c>
      <c r="AE145" s="529">
        <v>269.67</v>
      </c>
      <c r="AF145" s="253"/>
      <c r="AG145" s="528">
        <v>137</v>
      </c>
      <c r="AH145" s="526">
        <v>196.14</v>
      </c>
      <c r="AI145" s="529">
        <v>274.60000000000002</v>
      </c>
      <c r="AJ145" s="253"/>
      <c r="AK145" s="528">
        <v>137</v>
      </c>
      <c r="AL145" s="526">
        <v>199.66</v>
      </c>
      <c r="AM145" s="529">
        <v>279.52999999999997</v>
      </c>
      <c r="AN145" s="253"/>
      <c r="AO145" s="528">
        <v>137</v>
      </c>
      <c r="AP145" s="526">
        <v>203.18</v>
      </c>
      <c r="AQ145" s="529">
        <v>284.45999999999998</v>
      </c>
      <c r="AR145" s="253"/>
      <c r="AS145" s="528">
        <v>137</v>
      </c>
      <c r="AT145" s="526">
        <v>206.7</v>
      </c>
      <c r="AU145" s="529">
        <v>289.39</v>
      </c>
      <c r="AV145" s="253"/>
      <c r="AW145" s="528">
        <v>137</v>
      </c>
      <c r="AX145" s="526">
        <v>210.23</v>
      </c>
      <c r="AY145" s="529">
        <v>294.32</v>
      </c>
      <c r="AZ145" s="253"/>
      <c r="BA145" s="528">
        <v>137</v>
      </c>
      <c r="BB145" s="526">
        <v>213.75</v>
      </c>
      <c r="BC145" s="529">
        <v>299.24</v>
      </c>
      <c r="BD145" s="253"/>
      <c r="BE145" s="528">
        <v>137</v>
      </c>
      <c r="BF145" s="526">
        <v>217.27</v>
      </c>
      <c r="BG145" s="529">
        <v>304.17</v>
      </c>
      <c r="BH145" s="253"/>
      <c r="BI145" s="528">
        <v>137</v>
      </c>
      <c r="BJ145" s="526">
        <v>220.79</v>
      </c>
      <c r="BK145" s="529">
        <v>309.10000000000002</v>
      </c>
      <c r="BL145" s="253"/>
    </row>
    <row r="146" spans="1:64" ht="23.25">
      <c r="A146" s="269">
        <v>138</v>
      </c>
      <c r="B146" s="1437">
        <f t="shared" si="4"/>
        <v>186.9</v>
      </c>
      <c r="C146" s="1438">
        <f t="shared" si="5"/>
        <v>261.66000000000003</v>
      </c>
      <c r="D146" s="279"/>
      <c r="E146" s="1413">
        <v>138</v>
      </c>
      <c r="F146" s="1411">
        <v>172.71</v>
      </c>
      <c r="G146" s="1414">
        <v>241.8</v>
      </c>
      <c r="H146" s="1404"/>
      <c r="I146" s="1413">
        <v>138</v>
      </c>
      <c r="J146" s="1411">
        <v>176.26</v>
      </c>
      <c r="K146" s="1414">
        <v>246.76</v>
      </c>
      <c r="L146" s="279"/>
      <c r="M146" s="528">
        <v>138</v>
      </c>
      <c r="N146" s="569">
        <v>179.81</v>
      </c>
      <c r="O146" s="569">
        <v>251.73</v>
      </c>
      <c r="P146" s="253"/>
      <c r="Q146" s="528">
        <v>138</v>
      </c>
      <c r="R146" s="569">
        <v>183.35</v>
      </c>
      <c r="S146" s="569">
        <v>256.69</v>
      </c>
      <c r="T146" s="253"/>
      <c r="U146" s="528">
        <v>138</v>
      </c>
      <c r="V146" s="569">
        <v>186.9</v>
      </c>
      <c r="W146" s="569">
        <v>261.66000000000003</v>
      </c>
      <c r="X146" s="253"/>
      <c r="Y146" s="528">
        <v>138</v>
      </c>
      <c r="Z146" s="526">
        <v>190.45</v>
      </c>
      <c r="AA146" s="529">
        <v>266.63</v>
      </c>
      <c r="AB146" s="253"/>
      <c r="AC146" s="528">
        <v>138</v>
      </c>
      <c r="AD146" s="526">
        <v>193.99</v>
      </c>
      <c r="AE146" s="529">
        <v>271.58999999999997</v>
      </c>
      <c r="AF146" s="253"/>
      <c r="AG146" s="528">
        <v>138</v>
      </c>
      <c r="AH146" s="526">
        <v>197.54</v>
      </c>
      <c r="AI146" s="529">
        <v>276.56</v>
      </c>
      <c r="AJ146" s="253"/>
      <c r="AK146" s="528">
        <v>138</v>
      </c>
      <c r="AL146" s="526">
        <v>201.09</v>
      </c>
      <c r="AM146" s="529">
        <v>281.52</v>
      </c>
      <c r="AN146" s="253"/>
      <c r="AO146" s="528">
        <v>138</v>
      </c>
      <c r="AP146" s="526">
        <v>204.63</v>
      </c>
      <c r="AQ146" s="529">
        <v>286.49</v>
      </c>
      <c r="AR146" s="253"/>
      <c r="AS146" s="528">
        <v>138</v>
      </c>
      <c r="AT146" s="526">
        <v>208.18</v>
      </c>
      <c r="AU146" s="529">
        <v>291.45</v>
      </c>
      <c r="AV146" s="253"/>
      <c r="AW146" s="528">
        <v>138</v>
      </c>
      <c r="AX146" s="526">
        <v>211.73</v>
      </c>
      <c r="AY146" s="529">
        <v>296.42</v>
      </c>
      <c r="AZ146" s="253"/>
      <c r="BA146" s="528">
        <v>138</v>
      </c>
      <c r="BB146" s="526">
        <v>215.27</v>
      </c>
      <c r="BC146" s="529">
        <v>301.38</v>
      </c>
      <c r="BD146" s="253"/>
      <c r="BE146" s="528">
        <v>138</v>
      </c>
      <c r="BF146" s="526">
        <v>218.82</v>
      </c>
      <c r="BG146" s="529">
        <v>306.35000000000002</v>
      </c>
      <c r="BH146" s="253"/>
      <c r="BI146" s="528">
        <v>138</v>
      </c>
      <c r="BJ146" s="526">
        <v>222.37</v>
      </c>
      <c r="BK146" s="529">
        <v>311.31</v>
      </c>
      <c r="BL146" s="253"/>
    </row>
    <row r="147" spans="1:64" ht="23.25">
      <c r="A147" s="269">
        <v>139</v>
      </c>
      <c r="B147" s="1437">
        <f t="shared" si="4"/>
        <v>188.22</v>
      </c>
      <c r="C147" s="1438">
        <f t="shared" si="5"/>
        <v>263.51</v>
      </c>
      <c r="D147" s="279"/>
      <c r="E147" s="1413">
        <v>139</v>
      </c>
      <c r="F147" s="1411">
        <v>173.93</v>
      </c>
      <c r="G147" s="1414">
        <v>243.51</v>
      </c>
      <c r="H147" s="1404"/>
      <c r="I147" s="1413">
        <v>139</v>
      </c>
      <c r="J147" s="1411">
        <v>177.51</v>
      </c>
      <c r="K147" s="1414">
        <v>248.51</v>
      </c>
      <c r="L147" s="279"/>
      <c r="M147" s="528">
        <v>139</v>
      </c>
      <c r="N147" s="569">
        <v>181.08</v>
      </c>
      <c r="O147" s="569">
        <v>253.51</v>
      </c>
      <c r="P147" s="253"/>
      <c r="Q147" s="528">
        <v>139</v>
      </c>
      <c r="R147" s="569">
        <v>184.65</v>
      </c>
      <c r="S147" s="569">
        <v>258.51</v>
      </c>
      <c r="T147" s="253"/>
      <c r="U147" s="528">
        <v>139</v>
      </c>
      <c r="V147" s="569">
        <v>188.22</v>
      </c>
      <c r="W147" s="569">
        <v>263.51</v>
      </c>
      <c r="X147" s="253"/>
      <c r="Y147" s="528">
        <v>139</v>
      </c>
      <c r="Z147" s="526">
        <v>191.79</v>
      </c>
      <c r="AA147" s="529">
        <v>268.51</v>
      </c>
      <c r="AB147" s="253"/>
      <c r="AC147" s="528">
        <v>139</v>
      </c>
      <c r="AD147" s="526">
        <v>195.37</v>
      </c>
      <c r="AE147" s="529">
        <v>273.51</v>
      </c>
      <c r="AF147" s="253"/>
      <c r="AG147" s="528">
        <v>139</v>
      </c>
      <c r="AH147" s="526">
        <v>198.94</v>
      </c>
      <c r="AI147" s="529">
        <v>278.51</v>
      </c>
      <c r="AJ147" s="253"/>
      <c r="AK147" s="528">
        <v>139</v>
      </c>
      <c r="AL147" s="526">
        <v>202.51</v>
      </c>
      <c r="AM147" s="529">
        <v>283.52</v>
      </c>
      <c r="AN147" s="253"/>
      <c r="AO147" s="528">
        <v>139</v>
      </c>
      <c r="AP147" s="526">
        <v>206.08</v>
      </c>
      <c r="AQ147" s="529">
        <v>288.52</v>
      </c>
      <c r="AR147" s="253"/>
      <c r="AS147" s="528">
        <v>139</v>
      </c>
      <c r="AT147" s="526">
        <v>209.66</v>
      </c>
      <c r="AU147" s="529">
        <v>293.52</v>
      </c>
      <c r="AV147" s="253"/>
      <c r="AW147" s="528">
        <v>139</v>
      </c>
      <c r="AX147" s="526">
        <v>213.23</v>
      </c>
      <c r="AY147" s="529">
        <v>298.52</v>
      </c>
      <c r="AZ147" s="253"/>
      <c r="BA147" s="528">
        <v>139</v>
      </c>
      <c r="BB147" s="526">
        <v>216.8</v>
      </c>
      <c r="BC147" s="529">
        <v>303.52</v>
      </c>
      <c r="BD147" s="253"/>
      <c r="BE147" s="528">
        <v>139</v>
      </c>
      <c r="BF147" s="526">
        <v>220.37</v>
      </c>
      <c r="BG147" s="529">
        <v>308.52</v>
      </c>
      <c r="BH147" s="253"/>
      <c r="BI147" s="528">
        <v>139</v>
      </c>
      <c r="BJ147" s="526">
        <v>223.95</v>
      </c>
      <c r="BK147" s="529">
        <v>313.52</v>
      </c>
      <c r="BL147" s="253"/>
    </row>
    <row r="148" spans="1:64" ht="23.25">
      <c r="A148" s="269">
        <v>140</v>
      </c>
      <c r="B148" s="1437">
        <f t="shared" si="4"/>
        <v>189.55</v>
      </c>
      <c r="C148" s="1438">
        <f t="shared" si="5"/>
        <v>265.36</v>
      </c>
      <c r="D148" s="279"/>
      <c r="E148" s="1413">
        <v>140</v>
      </c>
      <c r="F148" s="1411">
        <v>175.15</v>
      </c>
      <c r="G148" s="1414">
        <v>245.21</v>
      </c>
      <c r="H148" s="1404"/>
      <c r="I148" s="1413">
        <v>140</v>
      </c>
      <c r="J148" s="1411">
        <v>178.75</v>
      </c>
      <c r="K148" s="1414">
        <v>250.25</v>
      </c>
      <c r="L148" s="279"/>
      <c r="M148" s="528">
        <v>140</v>
      </c>
      <c r="N148" s="569">
        <v>182.35</v>
      </c>
      <c r="O148" s="569">
        <v>255.29</v>
      </c>
      <c r="P148" s="253"/>
      <c r="Q148" s="528">
        <v>140</v>
      </c>
      <c r="R148" s="569">
        <v>185.95</v>
      </c>
      <c r="S148" s="569">
        <v>260.33</v>
      </c>
      <c r="T148" s="253"/>
      <c r="U148" s="528">
        <v>140</v>
      </c>
      <c r="V148" s="569">
        <v>189.55</v>
      </c>
      <c r="W148" s="569">
        <v>265.36</v>
      </c>
      <c r="X148" s="253"/>
      <c r="Y148" s="528">
        <v>140</v>
      </c>
      <c r="Z148" s="526">
        <v>193.14</v>
      </c>
      <c r="AA148" s="529">
        <v>270.39999999999998</v>
      </c>
      <c r="AB148" s="253"/>
      <c r="AC148" s="528">
        <v>140</v>
      </c>
      <c r="AD148" s="526">
        <v>196.74</v>
      </c>
      <c r="AE148" s="529">
        <v>275.44</v>
      </c>
      <c r="AF148" s="253"/>
      <c r="AG148" s="528">
        <v>140</v>
      </c>
      <c r="AH148" s="526">
        <v>200.34</v>
      </c>
      <c r="AI148" s="529">
        <v>280.47000000000003</v>
      </c>
      <c r="AJ148" s="253"/>
      <c r="AK148" s="528">
        <v>140</v>
      </c>
      <c r="AL148" s="526">
        <v>203.94</v>
      </c>
      <c r="AM148" s="529">
        <v>285.51</v>
      </c>
      <c r="AN148" s="253"/>
      <c r="AO148" s="528">
        <v>140</v>
      </c>
      <c r="AP148" s="526">
        <v>207.54</v>
      </c>
      <c r="AQ148" s="529">
        <v>290.55</v>
      </c>
      <c r="AR148" s="253"/>
      <c r="AS148" s="528">
        <v>140</v>
      </c>
      <c r="AT148" s="526">
        <v>211.13</v>
      </c>
      <c r="AU148" s="529">
        <v>295.58999999999997</v>
      </c>
      <c r="AV148" s="253"/>
      <c r="AW148" s="528">
        <v>140</v>
      </c>
      <c r="AX148" s="526">
        <v>214.73</v>
      </c>
      <c r="AY148" s="529">
        <v>300.62</v>
      </c>
      <c r="AZ148" s="253"/>
      <c r="BA148" s="528">
        <v>140</v>
      </c>
      <c r="BB148" s="526">
        <v>218.33</v>
      </c>
      <c r="BC148" s="529">
        <v>305.66000000000003</v>
      </c>
      <c r="BD148" s="253"/>
      <c r="BE148" s="528">
        <v>140</v>
      </c>
      <c r="BF148" s="526">
        <v>221.93</v>
      </c>
      <c r="BG148" s="529">
        <v>310.7</v>
      </c>
      <c r="BH148" s="253"/>
      <c r="BI148" s="528">
        <v>140</v>
      </c>
      <c r="BJ148" s="526">
        <v>225.53</v>
      </c>
      <c r="BK148" s="529">
        <v>315.74</v>
      </c>
      <c r="BL148" s="253"/>
    </row>
    <row r="149" spans="1:64" ht="23.25">
      <c r="A149" s="269">
        <v>141</v>
      </c>
      <c r="B149" s="1437">
        <f t="shared" si="4"/>
        <v>190.96</v>
      </c>
      <c r="C149" s="1438">
        <f t="shared" si="5"/>
        <v>267.33999999999997</v>
      </c>
      <c r="D149" s="279"/>
      <c r="E149" s="1413">
        <v>141</v>
      </c>
      <c r="F149" s="1411">
        <v>176.46</v>
      </c>
      <c r="G149" s="1414">
        <v>247.05</v>
      </c>
      <c r="H149" s="1404"/>
      <c r="I149" s="1413">
        <v>141</v>
      </c>
      <c r="J149" s="1411">
        <v>180.09</v>
      </c>
      <c r="K149" s="1414">
        <v>252.12</v>
      </c>
      <c r="L149" s="279"/>
      <c r="M149" s="528">
        <v>141</v>
      </c>
      <c r="N149" s="569">
        <v>183.71</v>
      </c>
      <c r="O149" s="569">
        <v>257.19</v>
      </c>
      <c r="P149" s="253"/>
      <c r="Q149" s="528">
        <v>141</v>
      </c>
      <c r="R149" s="569">
        <v>187.33</v>
      </c>
      <c r="S149" s="569">
        <v>262.27</v>
      </c>
      <c r="T149" s="253"/>
      <c r="U149" s="528">
        <v>141</v>
      </c>
      <c r="V149" s="569">
        <v>190.96</v>
      </c>
      <c r="W149" s="569">
        <v>267.33999999999997</v>
      </c>
      <c r="X149" s="253"/>
      <c r="Y149" s="528">
        <v>141</v>
      </c>
      <c r="Z149" s="526">
        <v>194.58</v>
      </c>
      <c r="AA149" s="529">
        <v>272.41000000000003</v>
      </c>
      <c r="AB149" s="253"/>
      <c r="AC149" s="528">
        <v>141</v>
      </c>
      <c r="AD149" s="526">
        <v>198.2</v>
      </c>
      <c r="AE149" s="529">
        <v>277.49</v>
      </c>
      <c r="AF149" s="253"/>
      <c r="AG149" s="528">
        <v>141</v>
      </c>
      <c r="AH149" s="526">
        <v>201.83</v>
      </c>
      <c r="AI149" s="529">
        <v>282.56</v>
      </c>
      <c r="AJ149" s="253"/>
      <c r="AK149" s="528">
        <v>141</v>
      </c>
      <c r="AL149" s="526">
        <v>205.45</v>
      </c>
      <c r="AM149" s="529">
        <v>287.63</v>
      </c>
      <c r="AN149" s="253"/>
      <c r="AO149" s="528">
        <v>141</v>
      </c>
      <c r="AP149" s="526">
        <v>209.08</v>
      </c>
      <c r="AQ149" s="529">
        <v>292.70999999999998</v>
      </c>
      <c r="AR149" s="253"/>
      <c r="AS149" s="528">
        <v>141</v>
      </c>
      <c r="AT149" s="526">
        <v>212.7</v>
      </c>
      <c r="AU149" s="529">
        <v>297.77999999999997</v>
      </c>
      <c r="AV149" s="253"/>
      <c r="AW149" s="528">
        <v>141</v>
      </c>
      <c r="AX149" s="526">
        <v>216.32</v>
      </c>
      <c r="AY149" s="529">
        <v>302.85000000000002</v>
      </c>
      <c r="AZ149" s="253"/>
      <c r="BA149" s="528">
        <v>141</v>
      </c>
      <c r="BB149" s="526">
        <v>219.95</v>
      </c>
      <c r="BC149" s="529">
        <v>307.93</v>
      </c>
      <c r="BD149" s="253"/>
      <c r="BE149" s="528">
        <v>141</v>
      </c>
      <c r="BF149" s="526">
        <v>223.57</v>
      </c>
      <c r="BG149" s="529">
        <v>313</v>
      </c>
      <c r="BH149" s="253"/>
      <c r="BI149" s="528">
        <v>141</v>
      </c>
      <c r="BJ149" s="526">
        <v>227.19</v>
      </c>
      <c r="BK149" s="529">
        <v>318.07</v>
      </c>
      <c r="BL149" s="253"/>
    </row>
    <row r="150" spans="1:64" ht="23.25">
      <c r="A150" s="269">
        <v>142</v>
      </c>
      <c r="B150" s="1437">
        <f t="shared" si="4"/>
        <v>192.28</v>
      </c>
      <c r="C150" s="1438">
        <f t="shared" si="5"/>
        <v>269.2</v>
      </c>
      <c r="D150" s="279"/>
      <c r="E150" s="1413">
        <v>142</v>
      </c>
      <c r="F150" s="1411">
        <v>177.69</v>
      </c>
      <c r="G150" s="1414">
        <v>248.76</v>
      </c>
      <c r="H150" s="1404"/>
      <c r="I150" s="1413">
        <v>142</v>
      </c>
      <c r="J150" s="1411">
        <v>181.33</v>
      </c>
      <c r="K150" s="1414">
        <v>253.87</v>
      </c>
      <c r="L150" s="279"/>
      <c r="M150" s="528">
        <v>142</v>
      </c>
      <c r="N150" s="569">
        <v>184.98</v>
      </c>
      <c r="O150" s="569">
        <v>258.98</v>
      </c>
      <c r="P150" s="253"/>
      <c r="Q150" s="528">
        <v>142</v>
      </c>
      <c r="R150" s="569">
        <v>188.63</v>
      </c>
      <c r="S150" s="569">
        <v>264.08999999999997</v>
      </c>
      <c r="T150" s="253"/>
      <c r="U150" s="528">
        <v>142</v>
      </c>
      <c r="V150" s="569">
        <v>192.28</v>
      </c>
      <c r="W150" s="569">
        <v>269.2</v>
      </c>
      <c r="X150" s="253"/>
      <c r="Y150" s="528">
        <v>142</v>
      </c>
      <c r="Z150" s="526">
        <v>195.93</v>
      </c>
      <c r="AA150" s="529">
        <v>274.31</v>
      </c>
      <c r="AB150" s="253"/>
      <c r="AC150" s="528">
        <v>142</v>
      </c>
      <c r="AD150" s="526">
        <v>199.58</v>
      </c>
      <c r="AE150" s="529">
        <v>279.41000000000003</v>
      </c>
      <c r="AF150" s="253"/>
      <c r="AG150" s="528">
        <v>142</v>
      </c>
      <c r="AH150" s="526">
        <v>203.23</v>
      </c>
      <c r="AI150" s="529">
        <v>284.52</v>
      </c>
      <c r="AJ150" s="253"/>
      <c r="AK150" s="528">
        <v>142</v>
      </c>
      <c r="AL150" s="526">
        <v>206.88</v>
      </c>
      <c r="AM150" s="529">
        <v>289.63</v>
      </c>
      <c r="AN150" s="253"/>
      <c r="AO150" s="528">
        <v>142</v>
      </c>
      <c r="AP150" s="526">
        <v>210.53</v>
      </c>
      <c r="AQ150" s="529">
        <v>294.74</v>
      </c>
      <c r="AR150" s="253"/>
      <c r="AS150" s="528">
        <v>142</v>
      </c>
      <c r="AT150" s="526">
        <v>214.18</v>
      </c>
      <c r="AU150" s="529">
        <v>299.85000000000002</v>
      </c>
      <c r="AV150" s="253"/>
      <c r="AW150" s="528">
        <v>142</v>
      </c>
      <c r="AX150" s="526">
        <v>217.83</v>
      </c>
      <c r="AY150" s="529">
        <v>304.95999999999998</v>
      </c>
      <c r="AZ150" s="253"/>
      <c r="BA150" s="528">
        <v>142</v>
      </c>
      <c r="BB150" s="526">
        <v>221.48</v>
      </c>
      <c r="BC150" s="529">
        <v>310.07</v>
      </c>
      <c r="BD150" s="253"/>
      <c r="BE150" s="528">
        <v>142</v>
      </c>
      <c r="BF150" s="526">
        <v>225.13</v>
      </c>
      <c r="BG150" s="529">
        <v>315.18</v>
      </c>
      <c r="BH150" s="253"/>
      <c r="BI150" s="528">
        <v>142</v>
      </c>
      <c r="BJ150" s="526">
        <v>228.78</v>
      </c>
      <c r="BK150" s="529">
        <v>320.29000000000002</v>
      </c>
      <c r="BL150" s="253"/>
    </row>
    <row r="151" spans="1:64" ht="23.25">
      <c r="A151" s="269">
        <v>143</v>
      </c>
      <c r="B151" s="1437">
        <f t="shared" si="4"/>
        <v>193.61</v>
      </c>
      <c r="C151" s="1438">
        <f t="shared" si="5"/>
        <v>271.05</v>
      </c>
      <c r="D151" s="279"/>
      <c r="E151" s="1413">
        <v>143</v>
      </c>
      <c r="F151" s="1411">
        <v>178.91</v>
      </c>
      <c r="G151" s="1414">
        <v>250.47</v>
      </c>
      <c r="H151" s="1404"/>
      <c r="I151" s="1413">
        <v>143</v>
      </c>
      <c r="J151" s="1411">
        <v>182.58</v>
      </c>
      <c r="K151" s="1414">
        <v>255.62</v>
      </c>
      <c r="L151" s="279"/>
      <c r="M151" s="528">
        <v>143</v>
      </c>
      <c r="N151" s="569">
        <v>186.26</v>
      </c>
      <c r="O151" s="569">
        <v>260.76</v>
      </c>
      <c r="P151" s="253"/>
      <c r="Q151" s="528">
        <v>143</v>
      </c>
      <c r="R151" s="569">
        <v>189.93</v>
      </c>
      <c r="S151" s="569">
        <v>265.91000000000003</v>
      </c>
      <c r="T151" s="253"/>
      <c r="U151" s="528">
        <v>143</v>
      </c>
      <c r="V151" s="569">
        <v>193.61</v>
      </c>
      <c r="W151" s="569">
        <v>271.05</v>
      </c>
      <c r="X151" s="253"/>
      <c r="Y151" s="528">
        <v>143</v>
      </c>
      <c r="Z151" s="526">
        <v>197.28</v>
      </c>
      <c r="AA151" s="529">
        <v>276.2</v>
      </c>
      <c r="AB151" s="253"/>
      <c r="AC151" s="528">
        <v>143</v>
      </c>
      <c r="AD151" s="526">
        <v>200.96</v>
      </c>
      <c r="AE151" s="529">
        <v>281.33999999999997</v>
      </c>
      <c r="AF151" s="253"/>
      <c r="AG151" s="528">
        <v>143</v>
      </c>
      <c r="AH151" s="526">
        <v>204.64</v>
      </c>
      <c r="AI151" s="529">
        <v>286.49</v>
      </c>
      <c r="AJ151" s="253"/>
      <c r="AK151" s="528">
        <v>143</v>
      </c>
      <c r="AL151" s="526">
        <v>208.31</v>
      </c>
      <c r="AM151" s="529">
        <v>291.63</v>
      </c>
      <c r="AN151" s="253"/>
      <c r="AO151" s="528">
        <v>143</v>
      </c>
      <c r="AP151" s="526">
        <v>211.99</v>
      </c>
      <c r="AQ151" s="529">
        <v>296.77999999999997</v>
      </c>
      <c r="AR151" s="253"/>
      <c r="AS151" s="528">
        <v>143</v>
      </c>
      <c r="AT151" s="526">
        <v>215.66</v>
      </c>
      <c r="AU151" s="529">
        <v>301.92</v>
      </c>
      <c r="AV151" s="253"/>
      <c r="AW151" s="528">
        <v>143</v>
      </c>
      <c r="AX151" s="526">
        <v>219.34</v>
      </c>
      <c r="AY151" s="529">
        <v>307.07</v>
      </c>
      <c r="AZ151" s="253"/>
      <c r="BA151" s="528">
        <v>143</v>
      </c>
      <c r="BB151" s="526">
        <v>223.01</v>
      </c>
      <c r="BC151" s="529">
        <v>312.20999999999998</v>
      </c>
      <c r="BD151" s="253"/>
      <c r="BE151" s="528">
        <v>143</v>
      </c>
      <c r="BF151" s="526">
        <v>226.69</v>
      </c>
      <c r="BG151" s="529">
        <v>317.36</v>
      </c>
      <c r="BH151" s="253"/>
      <c r="BI151" s="528">
        <v>143</v>
      </c>
      <c r="BJ151" s="526">
        <v>230.36</v>
      </c>
      <c r="BK151" s="529">
        <v>322.51</v>
      </c>
      <c r="BL151" s="253"/>
    </row>
    <row r="152" spans="1:64" ht="23.25">
      <c r="A152" s="269">
        <v>144</v>
      </c>
      <c r="B152" s="1437">
        <f t="shared" si="4"/>
        <v>195.03</v>
      </c>
      <c r="C152" s="1438">
        <f t="shared" si="5"/>
        <v>273.04000000000002</v>
      </c>
      <c r="D152" s="279"/>
      <c r="E152" s="1413">
        <v>144</v>
      </c>
      <c r="F152" s="1411">
        <v>180.23</v>
      </c>
      <c r="G152" s="1414">
        <v>252.32</v>
      </c>
      <c r="H152" s="1404"/>
      <c r="I152" s="1413">
        <v>144</v>
      </c>
      <c r="J152" s="1411">
        <v>183.93</v>
      </c>
      <c r="K152" s="1414">
        <v>257.5</v>
      </c>
      <c r="L152" s="279"/>
      <c r="M152" s="528">
        <v>144</v>
      </c>
      <c r="N152" s="569">
        <v>187.63</v>
      </c>
      <c r="O152" s="569">
        <v>262.68</v>
      </c>
      <c r="P152" s="253"/>
      <c r="Q152" s="528">
        <v>144</v>
      </c>
      <c r="R152" s="569">
        <v>191.33</v>
      </c>
      <c r="S152" s="569">
        <v>267.86</v>
      </c>
      <c r="T152" s="253"/>
      <c r="U152" s="528">
        <v>144</v>
      </c>
      <c r="V152" s="569">
        <v>195.03</v>
      </c>
      <c r="W152" s="569">
        <v>273.04000000000002</v>
      </c>
      <c r="X152" s="253"/>
      <c r="Y152" s="528">
        <v>144</v>
      </c>
      <c r="Z152" s="526">
        <v>198.73</v>
      </c>
      <c r="AA152" s="529">
        <v>278.22000000000003</v>
      </c>
      <c r="AB152" s="253"/>
      <c r="AC152" s="528">
        <v>144</v>
      </c>
      <c r="AD152" s="526">
        <v>202.43</v>
      </c>
      <c r="AE152" s="529">
        <v>283.39999999999998</v>
      </c>
      <c r="AF152" s="253"/>
      <c r="AG152" s="528">
        <v>144</v>
      </c>
      <c r="AH152" s="526">
        <v>206.13</v>
      </c>
      <c r="AI152" s="529">
        <v>288.58999999999997</v>
      </c>
      <c r="AJ152" s="253"/>
      <c r="AK152" s="528">
        <v>144</v>
      </c>
      <c r="AL152" s="526">
        <v>209.83</v>
      </c>
      <c r="AM152" s="529">
        <v>293.77</v>
      </c>
      <c r="AN152" s="253"/>
      <c r="AO152" s="528">
        <v>144</v>
      </c>
      <c r="AP152" s="526">
        <v>213.53</v>
      </c>
      <c r="AQ152" s="529">
        <v>298.95</v>
      </c>
      <c r="AR152" s="253"/>
      <c r="AS152" s="528">
        <v>144</v>
      </c>
      <c r="AT152" s="526">
        <v>217.23</v>
      </c>
      <c r="AU152" s="529">
        <v>304.13</v>
      </c>
      <c r="AV152" s="253"/>
      <c r="AW152" s="528">
        <v>144</v>
      </c>
      <c r="AX152" s="526">
        <v>220.94</v>
      </c>
      <c r="AY152" s="529">
        <v>309.31</v>
      </c>
      <c r="AZ152" s="253"/>
      <c r="BA152" s="528">
        <v>144</v>
      </c>
      <c r="BB152" s="526">
        <v>224.64</v>
      </c>
      <c r="BC152" s="529">
        <v>314.49</v>
      </c>
      <c r="BD152" s="253"/>
      <c r="BE152" s="528">
        <v>144</v>
      </c>
      <c r="BF152" s="526">
        <v>228.34</v>
      </c>
      <c r="BG152" s="529">
        <v>319.67</v>
      </c>
      <c r="BH152" s="253"/>
      <c r="BI152" s="528">
        <v>144</v>
      </c>
      <c r="BJ152" s="526">
        <v>232.04</v>
      </c>
      <c r="BK152" s="529">
        <v>324.85000000000002</v>
      </c>
      <c r="BL152" s="253"/>
    </row>
    <row r="153" spans="1:64" ht="23.25">
      <c r="A153" s="269">
        <v>145</v>
      </c>
      <c r="B153" s="1437">
        <f t="shared" si="4"/>
        <v>196.36</v>
      </c>
      <c r="C153" s="1438">
        <f t="shared" si="5"/>
        <v>274.89999999999998</v>
      </c>
      <c r="D153" s="279"/>
      <c r="E153" s="1413">
        <v>145</v>
      </c>
      <c r="F153" s="1411">
        <v>181.45</v>
      </c>
      <c r="G153" s="1414">
        <v>254.04</v>
      </c>
      <c r="H153" s="1404"/>
      <c r="I153" s="1413">
        <v>145</v>
      </c>
      <c r="J153" s="1411">
        <v>185.18</v>
      </c>
      <c r="K153" s="1414">
        <v>259.25</v>
      </c>
      <c r="L153" s="279"/>
      <c r="M153" s="528">
        <v>145</v>
      </c>
      <c r="N153" s="569">
        <v>188.91</v>
      </c>
      <c r="O153" s="569">
        <v>264.47000000000003</v>
      </c>
      <c r="P153" s="253"/>
      <c r="Q153" s="528">
        <v>145</v>
      </c>
      <c r="R153" s="569">
        <v>192.63</v>
      </c>
      <c r="S153" s="569">
        <v>269.69</v>
      </c>
      <c r="T153" s="253"/>
      <c r="U153" s="528">
        <v>145</v>
      </c>
      <c r="V153" s="569">
        <v>196.36</v>
      </c>
      <c r="W153" s="569">
        <v>274.89999999999998</v>
      </c>
      <c r="X153" s="253"/>
      <c r="Y153" s="528">
        <v>145</v>
      </c>
      <c r="Z153" s="526">
        <v>200.09</v>
      </c>
      <c r="AA153" s="529">
        <v>280.12</v>
      </c>
      <c r="AB153" s="253"/>
      <c r="AC153" s="528">
        <v>145</v>
      </c>
      <c r="AD153" s="526">
        <v>203.81</v>
      </c>
      <c r="AE153" s="529">
        <v>285.33999999999997</v>
      </c>
      <c r="AF153" s="253"/>
      <c r="AG153" s="528">
        <v>145</v>
      </c>
      <c r="AH153" s="526">
        <v>207.54</v>
      </c>
      <c r="AI153" s="529">
        <v>290.55</v>
      </c>
      <c r="AJ153" s="253"/>
      <c r="AK153" s="528">
        <v>145</v>
      </c>
      <c r="AL153" s="526">
        <v>211.27</v>
      </c>
      <c r="AM153" s="529">
        <v>295.77</v>
      </c>
      <c r="AN153" s="253"/>
      <c r="AO153" s="528">
        <v>145</v>
      </c>
      <c r="AP153" s="526">
        <v>214.99</v>
      </c>
      <c r="AQ153" s="529">
        <v>300.99</v>
      </c>
      <c r="AR153" s="253"/>
      <c r="AS153" s="528">
        <v>145</v>
      </c>
      <c r="AT153" s="526">
        <v>218.72</v>
      </c>
      <c r="AU153" s="529">
        <v>306.20999999999998</v>
      </c>
      <c r="AV153" s="253"/>
      <c r="AW153" s="528">
        <v>145</v>
      </c>
      <c r="AX153" s="526">
        <v>222.45</v>
      </c>
      <c r="AY153" s="529">
        <v>311.42</v>
      </c>
      <c r="AZ153" s="253"/>
      <c r="BA153" s="528">
        <v>145</v>
      </c>
      <c r="BB153" s="526">
        <v>226.17</v>
      </c>
      <c r="BC153" s="529">
        <v>316.64</v>
      </c>
      <c r="BD153" s="253"/>
      <c r="BE153" s="528">
        <v>145</v>
      </c>
      <c r="BF153" s="526">
        <v>229.9</v>
      </c>
      <c r="BG153" s="529">
        <v>321.86</v>
      </c>
      <c r="BH153" s="253"/>
      <c r="BI153" s="528">
        <v>145</v>
      </c>
      <c r="BJ153" s="526">
        <v>233.62</v>
      </c>
      <c r="BK153" s="529">
        <v>327.07</v>
      </c>
      <c r="BL153" s="253"/>
    </row>
    <row r="154" spans="1:64" ht="23.25">
      <c r="A154" s="269">
        <v>146</v>
      </c>
      <c r="B154" s="1437">
        <f t="shared" si="4"/>
        <v>197.69</v>
      </c>
      <c r="C154" s="1438">
        <f t="shared" si="5"/>
        <v>276.77</v>
      </c>
      <c r="D154" s="279"/>
      <c r="E154" s="1413">
        <v>146</v>
      </c>
      <c r="F154" s="1411">
        <v>182.68</v>
      </c>
      <c r="G154" s="1414">
        <v>255.75</v>
      </c>
      <c r="H154" s="1404"/>
      <c r="I154" s="1413">
        <v>146</v>
      </c>
      <c r="J154" s="1411">
        <v>186.43</v>
      </c>
      <c r="K154" s="1414">
        <v>261.01</v>
      </c>
      <c r="L154" s="279"/>
      <c r="M154" s="528">
        <v>146</v>
      </c>
      <c r="N154" s="569">
        <v>190.19</v>
      </c>
      <c r="O154" s="569">
        <v>266.26</v>
      </c>
      <c r="P154" s="253"/>
      <c r="Q154" s="528">
        <v>146</v>
      </c>
      <c r="R154" s="569">
        <v>193.94</v>
      </c>
      <c r="S154" s="569">
        <v>271.51</v>
      </c>
      <c r="T154" s="253"/>
      <c r="U154" s="528">
        <v>146</v>
      </c>
      <c r="V154" s="569">
        <v>197.69</v>
      </c>
      <c r="W154" s="569">
        <v>276.77</v>
      </c>
      <c r="X154" s="253"/>
      <c r="Y154" s="528">
        <v>146</v>
      </c>
      <c r="Z154" s="526">
        <v>201.44</v>
      </c>
      <c r="AA154" s="529">
        <v>282.02</v>
      </c>
      <c r="AB154" s="253"/>
      <c r="AC154" s="528">
        <v>146</v>
      </c>
      <c r="AD154" s="526">
        <v>205.19</v>
      </c>
      <c r="AE154" s="529">
        <v>287.27</v>
      </c>
      <c r="AF154" s="253"/>
      <c r="AG154" s="528">
        <v>146</v>
      </c>
      <c r="AH154" s="526">
        <v>208.95</v>
      </c>
      <c r="AI154" s="529">
        <v>292.52999999999997</v>
      </c>
      <c r="AJ154" s="253"/>
      <c r="AK154" s="528">
        <v>146</v>
      </c>
      <c r="AL154" s="526">
        <v>212.7</v>
      </c>
      <c r="AM154" s="529">
        <v>297.77999999999997</v>
      </c>
      <c r="AN154" s="253"/>
      <c r="AO154" s="528">
        <v>146</v>
      </c>
      <c r="AP154" s="526">
        <v>216.45</v>
      </c>
      <c r="AQ154" s="529">
        <v>303.02999999999997</v>
      </c>
      <c r="AR154" s="253"/>
      <c r="AS154" s="528">
        <v>146</v>
      </c>
      <c r="AT154" s="526">
        <v>220.2</v>
      </c>
      <c r="AU154" s="529">
        <v>308.29000000000002</v>
      </c>
      <c r="AV154" s="253"/>
      <c r="AW154" s="528">
        <v>146</v>
      </c>
      <c r="AX154" s="526">
        <v>223.96</v>
      </c>
      <c r="AY154" s="529">
        <v>313.54000000000002</v>
      </c>
      <c r="AZ154" s="253"/>
      <c r="BA154" s="528">
        <v>146</v>
      </c>
      <c r="BB154" s="526">
        <v>227.71</v>
      </c>
      <c r="BC154" s="529">
        <v>318.79000000000002</v>
      </c>
      <c r="BD154" s="253"/>
      <c r="BE154" s="528">
        <v>146</v>
      </c>
      <c r="BF154" s="526">
        <v>231.46</v>
      </c>
      <c r="BG154" s="529">
        <v>324.04000000000002</v>
      </c>
      <c r="BH154" s="253"/>
      <c r="BI154" s="528">
        <v>146</v>
      </c>
      <c r="BJ154" s="526">
        <v>235.21</v>
      </c>
      <c r="BK154" s="529">
        <v>329.3</v>
      </c>
      <c r="BL154" s="253"/>
    </row>
    <row r="155" spans="1:64" ht="23.25">
      <c r="A155" s="270">
        <v>147</v>
      </c>
      <c r="B155" s="1437">
        <f t="shared" si="4"/>
        <v>199.02</v>
      </c>
      <c r="C155" s="1438">
        <f t="shared" si="5"/>
        <v>278.63</v>
      </c>
      <c r="D155" s="279"/>
      <c r="E155" s="1415">
        <v>147</v>
      </c>
      <c r="F155" s="1423">
        <v>183.91</v>
      </c>
      <c r="G155" s="1417">
        <v>257.47000000000003</v>
      </c>
      <c r="H155" s="1404"/>
      <c r="I155" s="1415">
        <v>147</v>
      </c>
      <c r="J155" s="1423">
        <v>187.69</v>
      </c>
      <c r="K155" s="1417">
        <v>262.76</v>
      </c>
      <c r="L155" s="279"/>
      <c r="M155" s="530">
        <v>147</v>
      </c>
      <c r="N155" s="571">
        <v>191.47</v>
      </c>
      <c r="O155" s="571">
        <v>268.05</v>
      </c>
      <c r="P155" s="253"/>
      <c r="Q155" s="530">
        <v>147</v>
      </c>
      <c r="R155" s="571">
        <v>195.24</v>
      </c>
      <c r="S155" s="571">
        <v>273.33999999999997</v>
      </c>
      <c r="T155" s="253"/>
      <c r="U155" s="530">
        <v>147</v>
      </c>
      <c r="V155" s="571">
        <v>199.02</v>
      </c>
      <c r="W155" s="571">
        <v>278.63</v>
      </c>
      <c r="X155" s="253"/>
      <c r="Y155" s="530">
        <v>147</v>
      </c>
      <c r="Z155" s="538">
        <v>202.8</v>
      </c>
      <c r="AA155" s="532">
        <v>283.92</v>
      </c>
      <c r="AB155" s="253"/>
      <c r="AC155" s="530">
        <v>147</v>
      </c>
      <c r="AD155" s="538">
        <v>206.58</v>
      </c>
      <c r="AE155" s="532">
        <v>289.20999999999998</v>
      </c>
      <c r="AF155" s="253"/>
      <c r="AG155" s="530">
        <v>147</v>
      </c>
      <c r="AH155" s="538">
        <v>210.36</v>
      </c>
      <c r="AI155" s="532">
        <v>294.5</v>
      </c>
      <c r="AJ155" s="253"/>
      <c r="AK155" s="530">
        <v>147</v>
      </c>
      <c r="AL155" s="538">
        <v>214.13</v>
      </c>
      <c r="AM155" s="532">
        <v>299.79000000000002</v>
      </c>
      <c r="AN155" s="253"/>
      <c r="AO155" s="530">
        <v>147</v>
      </c>
      <c r="AP155" s="538">
        <v>217.91</v>
      </c>
      <c r="AQ155" s="532">
        <v>305.08</v>
      </c>
      <c r="AR155" s="253"/>
      <c r="AS155" s="530">
        <v>147</v>
      </c>
      <c r="AT155" s="538">
        <v>221.69</v>
      </c>
      <c r="AU155" s="532">
        <v>310.37</v>
      </c>
      <c r="AV155" s="253"/>
      <c r="AW155" s="530">
        <v>147</v>
      </c>
      <c r="AX155" s="538">
        <v>225.47</v>
      </c>
      <c r="AY155" s="532">
        <v>315.64999999999998</v>
      </c>
      <c r="AZ155" s="253"/>
      <c r="BA155" s="530">
        <v>147</v>
      </c>
      <c r="BB155" s="538">
        <v>229.25</v>
      </c>
      <c r="BC155" s="532">
        <v>320.94</v>
      </c>
      <c r="BD155" s="253"/>
      <c r="BE155" s="530">
        <v>147</v>
      </c>
      <c r="BF155" s="538">
        <v>233.02</v>
      </c>
      <c r="BG155" s="532">
        <v>326.23</v>
      </c>
      <c r="BH155" s="253"/>
      <c r="BI155" s="530">
        <v>147</v>
      </c>
      <c r="BJ155" s="538">
        <v>236.8</v>
      </c>
      <c r="BK155" s="532">
        <v>331.52</v>
      </c>
      <c r="BL155" s="253"/>
    </row>
    <row r="156" spans="1:64" ht="23.25">
      <c r="A156" s="267">
        <v>148</v>
      </c>
      <c r="B156" s="1437">
        <f t="shared" si="4"/>
        <v>200.36</v>
      </c>
      <c r="C156" s="1438">
        <f t="shared" si="5"/>
        <v>280.5</v>
      </c>
      <c r="D156" s="279"/>
      <c r="E156" s="1418">
        <v>148</v>
      </c>
      <c r="F156" s="1419">
        <v>185.14</v>
      </c>
      <c r="G156" s="1412">
        <v>259.2</v>
      </c>
      <c r="H156" s="1404"/>
      <c r="I156" s="1418">
        <v>148</v>
      </c>
      <c r="J156" s="1419">
        <v>188.94</v>
      </c>
      <c r="K156" s="1412">
        <v>264.52</v>
      </c>
      <c r="L156" s="279"/>
      <c r="M156" s="533">
        <v>148</v>
      </c>
      <c r="N156" s="569">
        <v>192.75</v>
      </c>
      <c r="O156" s="570">
        <v>269.85000000000002</v>
      </c>
      <c r="P156" s="253"/>
      <c r="Q156" s="533">
        <v>148</v>
      </c>
      <c r="R156" s="569">
        <v>196.55</v>
      </c>
      <c r="S156" s="570">
        <v>275.17</v>
      </c>
      <c r="T156" s="253"/>
      <c r="U156" s="533">
        <v>148</v>
      </c>
      <c r="V156" s="569">
        <v>200.36</v>
      </c>
      <c r="W156" s="570">
        <v>280.5</v>
      </c>
      <c r="X156" s="253"/>
      <c r="Y156" s="533">
        <v>148</v>
      </c>
      <c r="Z156" s="534">
        <v>204.16</v>
      </c>
      <c r="AA156" s="527">
        <v>285.82</v>
      </c>
      <c r="AB156" s="253"/>
      <c r="AC156" s="533">
        <v>148</v>
      </c>
      <c r="AD156" s="534">
        <v>207.96</v>
      </c>
      <c r="AE156" s="527">
        <v>291.14999999999998</v>
      </c>
      <c r="AF156" s="253"/>
      <c r="AG156" s="533">
        <v>148</v>
      </c>
      <c r="AH156" s="534">
        <v>211.77</v>
      </c>
      <c r="AI156" s="527">
        <v>296.41000000000003</v>
      </c>
      <c r="AJ156" s="253"/>
      <c r="AK156" s="533">
        <v>148</v>
      </c>
      <c r="AL156" s="534">
        <v>215.57</v>
      </c>
      <c r="AM156" s="527">
        <v>301.8</v>
      </c>
      <c r="AN156" s="253"/>
      <c r="AO156" s="533">
        <v>148</v>
      </c>
      <c r="AP156" s="534">
        <v>219.37</v>
      </c>
      <c r="AQ156" s="527">
        <v>307.12</v>
      </c>
      <c r="AR156" s="253"/>
      <c r="AS156" s="533">
        <v>148</v>
      </c>
      <c r="AT156" s="534">
        <v>223.18</v>
      </c>
      <c r="AU156" s="527">
        <v>312.45</v>
      </c>
      <c r="AV156" s="253"/>
      <c r="AW156" s="533">
        <v>148</v>
      </c>
      <c r="AX156" s="534">
        <v>226.98</v>
      </c>
      <c r="AY156" s="527">
        <v>317.77</v>
      </c>
      <c r="AZ156" s="253"/>
      <c r="BA156" s="533">
        <v>148</v>
      </c>
      <c r="BB156" s="534">
        <v>230.78</v>
      </c>
      <c r="BC156" s="527">
        <v>323.10000000000002</v>
      </c>
      <c r="BD156" s="253"/>
      <c r="BE156" s="533">
        <v>148</v>
      </c>
      <c r="BF156" s="534">
        <v>234.59</v>
      </c>
      <c r="BG156" s="527">
        <v>328.42</v>
      </c>
      <c r="BH156" s="253"/>
      <c r="BI156" s="533">
        <v>148</v>
      </c>
      <c r="BJ156" s="534">
        <v>238.39</v>
      </c>
      <c r="BK156" s="527">
        <v>333.75</v>
      </c>
      <c r="BL156" s="253"/>
    </row>
    <row r="157" spans="1:64" ht="23.25">
      <c r="A157" s="269">
        <v>149</v>
      </c>
      <c r="B157" s="1437">
        <f t="shared" si="4"/>
        <v>201.79</v>
      </c>
      <c r="C157" s="1438">
        <f t="shared" si="5"/>
        <v>282.5</v>
      </c>
      <c r="D157" s="279"/>
      <c r="E157" s="1420">
        <v>149</v>
      </c>
      <c r="F157" s="1421">
        <v>186.47</v>
      </c>
      <c r="G157" s="1414">
        <v>271.77999999999997</v>
      </c>
      <c r="H157" s="1404"/>
      <c r="I157" s="1420">
        <v>149</v>
      </c>
      <c r="J157" s="1421">
        <v>190.3</v>
      </c>
      <c r="K157" s="1414">
        <v>266.42</v>
      </c>
      <c r="L157" s="279"/>
      <c r="M157" s="535">
        <v>149</v>
      </c>
      <c r="N157" s="569">
        <v>194.13</v>
      </c>
      <c r="O157" s="569">
        <v>271.77999999999997</v>
      </c>
      <c r="P157" s="253"/>
      <c r="Q157" s="535">
        <v>149</v>
      </c>
      <c r="R157" s="569">
        <v>197.96</v>
      </c>
      <c r="S157" s="569">
        <v>277.14</v>
      </c>
      <c r="T157" s="253"/>
      <c r="U157" s="535">
        <v>149</v>
      </c>
      <c r="V157" s="569">
        <v>201.79</v>
      </c>
      <c r="W157" s="569">
        <v>282.5</v>
      </c>
      <c r="X157" s="253"/>
      <c r="Y157" s="535">
        <v>149</v>
      </c>
      <c r="Z157" s="536">
        <v>205.62</v>
      </c>
      <c r="AA157" s="529">
        <v>287.86</v>
      </c>
      <c r="AB157" s="253"/>
      <c r="AC157" s="535">
        <v>149</v>
      </c>
      <c r="AD157" s="536">
        <v>209.45</v>
      </c>
      <c r="AE157" s="529">
        <v>293.23</v>
      </c>
      <c r="AF157" s="253"/>
      <c r="AG157" s="535">
        <v>149</v>
      </c>
      <c r="AH157" s="536">
        <v>213.28</v>
      </c>
      <c r="AI157" s="529">
        <v>298.58999999999997</v>
      </c>
      <c r="AJ157" s="253"/>
      <c r="AK157" s="535">
        <v>149</v>
      </c>
      <c r="AL157" s="536">
        <v>217.11</v>
      </c>
      <c r="AM157" s="529">
        <v>303.95</v>
      </c>
      <c r="AN157" s="253"/>
      <c r="AO157" s="535">
        <v>149</v>
      </c>
      <c r="AP157" s="536">
        <v>220.93</v>
      </c>
      <c r="AQ157" s="529">
        <v>309.31</v>
      </c>
      <c r="AR157" s="253"/>
      <c r="AS157" s="535">
        <v>149</v>
      </c>
      <c r="AT157" s="536">
        <v>224.76</v>
      </c>
      <c r="AU157" s="529">
        <v>314.67</v>
      </c>
      <c r="AV157" s="253"/>
      <c r="AW157" s="535">
        <v>149</v>
      </c>
      <c r="AX157" s="536">
        <v>228.59</v>
      </c>
      <c r="AY157" s="529">
        <v>320.02999999999997</v>
      </c>
      <c r="AZ157" s="253"/>
      <c r="BA157" s="535">
        <v>149</v>
      </c>
      <c r="BB157" s="536">
        <v>232.42</v>
      </c>
      <c r="BC157" s="529">
        <v>325.39</v>
      </c>
      <c r="BD157" s="253"/>
      <c r="BE157" s="535">
        <v>149</v>
      </c>
      <c r="BF157" s="536">
        <v>236.25</v>
      </c>
      <c r="BG157" s="529">
        <v>330.75</v>
      </c>
      <c r="BH157" s="253"/>
      <c r="BI157" s="535">
        <v>149</v>
      </c>
      <c r="BJ157" s="536">
        <v>240.08</v>
      </c>
      <c r="BK157" s="529">
        <v>336.11</v>
      </c>
      <c r="BL157" s="253"/>
    </row>
    <row r="158" spans="1:64" ht="23.25">
      <c r="A158" s="269">
        <v>150</v>
      </c>
      <c r="B158" s="1437">
        <f t="shared" si="4"/>
        <v>203.12</v>
      </c>
      <c r="C158" s="1438">
        <f t="shared" si="5"/>
        <v>284.37</v>
      </c>
      <c r="D158" s="279"/>
      <c r="E158" s="1420">
        <v>150</v>
      </c>
      <c r="F158" s="1421">
        <v>187.7</v>
      </c>
      <c r="G158" s="1414">
        <v>262.79000000000002</v>
      </c>
      <c r="H158" s="1404"/>
      <c r="I158" s="1420">
        <v>150</v>
      </c>
      <c r="J158" s="1421">
        <v>191.56</v>
      </c>
      <c r="K158" s="1414">
        <v>268.18</v>
      </c>
      <c r="L158" s="279"/>
      <c r="M158" s="535">
        <v>150</v>
      </c>
      <c r="N158" s="569">
        <v>195.41</v>
      </c>
      <c r="O158" s="569">
        <v>273.58</v>
      </c>
      <c r="P158" s="253"/>
      <c r="Q158" s="535">
        <v>150</v>
      </c>
      <c r="R158" s="569">
        <v>199.27</v>
      </c>
      <c r="S158" s="569">
        <v>278.98</v>
      </c>
      <c r="T158" s="253"/>
      <c r="U158" s="535">
        <v>150</v>
      </c>
      <c r="V158" s="569">
        <v>203.12</v>
      </c>
      <c r="W158" s="569">
        <v>284.37</v>
      </c>
      <c r="X158" s="253"/>
      <c r="Y158" s="535">
        <v>150</v>
      </c>
      <c r="Z158" s="536">
        <v>206.98</v>
      </c>
      <c r="AA158" s="529">
        <v>289.77</v>
      </c>
      <c r="AB158" s="253"/>
      <c r="AC158" s="535">
        <v>150</v>
      </c>
      <c r="AD158" s="536">
        <v>210.83</v>
      </c>
      <c r="AE158" s="529">
        <v>295.17</v>
      </c>
      <c r="AF158" s="253"/>
      <c r="AG158" s="535">
        <v>150</v>
      </c>
      <c r="AH158" s="536">
        <v>214.69</v>
      </c>
      <c r="AI158" s="529">
        <v>300.56</v>
      </c>
      <c r="AJ158" s="253"/>
      <c r="AK158" s="535">
        <v>150</v>
      </c>
      <c r="AL158" s="536">
        <v>218.54</v>
      </c>
      <c r="AM158" s="529">
        <v>305.95999999999998</v>
      </c>
      <c r="AN158" s="253"/>
      <c r="AO158" s="535">
        <v>150</v>
      </c>
      <c r="AP158" s="536">
        <v>222.4</v>
      </c>
      <c r="AQ158" s="529">
        <v>311.36</v>
      </c>
      <c r="AR158" s="253"/>
      <c r="AS158" s="535">
        <v>150</v>
      </c>
      <c r="AT158" s="536">
        <v>226.25</v>
      </c>
      <c r="AU158" s="529">
        <v>316.76</v>
      </c>
      <c r="AV158" s="253"/>
      <c r="AW158" s="535">
        <v>150</v>
      </c>
      <c r="AX158" s="536">
        <v>230.11</v>
      </c>
      <c r="AY158" s="529">
        <v>322.14999999999998</v>
      </c>
      <c r="AZ158" s="253"/>
      <c r="BA158" s="535">
        <v>150</v>
      </c>
      <c r="BB158" s="536">
        <v>233.96</v>
      </c>
      <c r="BC158" s="529">
        <v>327.55</v>
      </c>
      <c r="BD158" s="253"/>
      <c r="BE158" s="535">
        <v>150</v>
      </c>
      <c r="BF158" s="536">
        <v>237.82</v>
      </c>
      <c r="BG158" s="529">
        <v>332.95</v>
      </c>
      <c r="BH158" s="253"/>
      <c r="BI158" s="535">
        <v>150</v>
      </c>
      <c r="BJ158" s="536">
        <v>241.67</v>
      </c>
      <c r="BK158" s="529">
        <v>338.34</v>
      </c>
      <c r="BL158" s="253"/>
    </row>
    <row r="159" spans="1:64" ht="23.25">
      <c r="A159" s="269">
        <v>151</v>
      </c>
      <c r="B159" s="1437">
        <f t="shared" si="4"/>
        <v>204.46</v>
      </c>
      <c r="C159" s="1438">
        <f t="shared" si="5"/>
        <v>286.25</v>
      </c>
      <c r="D159" s="279"/>
      <c r="E159" s="1420">
        <v>151</v>
      </c>
      <c r="F159" s="1421">
        <v>188.94</v>
      </c>
      <c r="G159" s="1414">
        <v>264.51</v>
      </c>
      <c r="H159" s="1404"/>
      <c r="I159" s="1420">
        <v>151</v>
      </c>
      <c r="J159" s="1421">
        <v>192.82</v>
      </c>
      <c r="K159" s="1414">
        <v>269.95</v>
      </c>
      <c r="L159" s="279"/>
      <c r="M159" s="535">
        <v>151</v>
      </c>
      <c r="N159" s="569">
        <v>196.7</v>
      </c>
      <c r="O159" s="569">
        <v>275.38</v>
      </c>
      <c r="P159" s="253"/>
      <c r="Q159" s="535">
        <v>151</v>
      </c>
      <c r="R159" s="569">
        <v>200.58</v>
      </c>
      <c r="S159" s="569">
        <v>280.81</v>
      </c>
      <c r="T159" s="253"/>
      <c r="U159" s="535">
        <v>151</v>
      </c>
      <c r="V159" s="569">
        <v>204.46</v>
      </c>
      <c r="W159" s="569">
        <v>286.25</v>
      </c>
      <c r="X159" s="253"/>
      <c r="Y159" s="535">
        <v>151</v>
      </c>
      <c r="Z159" s="536">
        <v>208.34</v>
      </c>
      <c r="AA159" s="529">
        <v>291.68</v>
      </c>
      <c r="AB159" s="253"/>
      <c r="AC159" s="535">
        <v>151</v>
      </c>
      <c r="AD159" s="536">
        <v>212.22</v>
      </c>
      <c r="AE159" s="529">
        <v>297.11</v>
      </c>
      <c r="AF159" s="253"/>
      <c r="AG159" s="535">
        <v>151</v>
      </c>
      <c r="AH159" s="536">
        <v>216.1</v>
      </c>
      <c r="AI159" s="529">
        <v>302.54000000000002</v>
      </c>
      <c r="AJ159" s="253"/>
      <c r="AK159" s="535">
        <v>151</v>
      </c>
      <c r="AL159" s="536">
        <v>219.98</v>
      </c>
      <c r="AM159" s="529">
        <v>307.98</v>
      </c>
      <c r="AN159" s="253"/>
      <c r="AO159" s="535">
        <v>151</v>
      </c>
      <c r="AP159" s="536">
        <v>223.86</v>
      </c>
      <c r="AQ159" s="529">
        <v>313.41000000000003</v>
      </c>
      <c r="AR159" s="253"/>
      <c r="AS159" s="535">
        <v>151</v>
      </c>
      <c r="AT159" s="536">
        <v>227.75</v>
      </c>
      <c r="AU159" s="529">
        <v>318.83999999999997</v>
      </c>
      <c r="AV159" s="253"/>
      <c r="AW159" s="535">
        <v>151</v>
      </c>
      <c r="AX159" s="536">
        <v>231.63</v>
      </c>
      <c r="AY159" s="529">
        <v>324.27999999999997</v>
      </c>
      <c r="AZ159" s="253"/>
      <c r="BA159" s="535">
        <v>151</v>
      </c>
      <c r="BB159" s="536">
        <v>235.51</v>
      </c>
      <c r="BC159" s="529">
        <v>329.71</v>
      </c>
      <c r="BD159" s="253"/>
      <c r="BE159" s="535">
        <v>151</v>
      </c>
      <c r="BF159" s="536">
        <v>239.39</v>
      </c>
      <c r="BG159" s="529">
        <v>335.14</v>
      </c>
      <c r="BH159" s="253"/>
      <c r="BI159" s="535">
        <v>151</v>
      </c>
      <c r="BJ159" s="536">
        <v>243.27</v>
      </c>
      <c r="BK159" s="529">
        <v>340.58</v>
      </c>
      <c r="BL159" s="253"/>
    </row>
    <row r="160" spans="1:64" ht="23.25">
      <c r="A160" s="269">
        <v>152</v>
      </c>
      <c r="B160" s="1437">
        <f t="shared" si="4"/>
        <v>205.8</v>
      </c>
      <c r="C160" s="1438">
        <f t="shared" si="5"/>
        <v>288.12</v>
      </c>
      <c r="D160" s="279"/>
      <c r="E160" s="1420">
        <v>152</v>
      </c>
      <c r="F160" s="1421">
        <v>190.17</v>
      </c>
      <c r="G160" s="1414">
        <v>266.24</v>
      </c>
      <c r="H160" s="1404"/>
      <c r="I160" s="1420">
        <v>152</v>
      </c>
      <c r="J160" s="1421">
        <v>194.08</v>
      </c>
      <c r="K160" s="1414">
        <v>271.70999999999998</v>
      </c>
      <c r="L160" s="279"/>
      <c r="M160" s="535">
        <v>152</v>
      </c>
      <c r="N160" s="569">
        <v>197.99</v>
      </c>
      <c r="O160" s="569">
        <v>277.18</v>
      </c>
      <c r="P160" s="253"/>
      <c r="Q160" s="535">
        <v>152</v>
      </c>
      <c r="R160" s="569">
        <v>201.89</v>
      </c>
      <c r="S160" s="569">
        <v>282.64999999999998</v>
      </c>
      <c r="T160" s="253"/>
      <c r="U160" s="535">
        <v>152</v>
      </c>
      <c r="V160" s="569">
        <v>205.8</v>
      </c>
      <c r="W160" s="569">
        <v>288.12</v>
      </c>
      <c r="X160" s="253"/>
      <c r="Y160" s="535">
        <v>152</v>
      </c>
      <c r="Z160" s="536">
        <v>209.71</v>
      </c>
      <c r="AA160" s="529">
        <v>293.58999999999997</v>
      </c>
      <c r="AB160" s="253"/>
      <c r="AC160" s="535">
        <v>152</v>
      </c>
      <c r="AD160" s="536">
        <v>213.61</v>
      </c>
      <c r="AE160" s="529">
        <v>299.06</v>
      </c>
      <c r="AF160" s="253"/>
      <c r="AG160" s="535">
        <v>152</v>
      </c>
      <c r="AH160" s="536">
        <v>217.52</v>
      </c>
      <c r="AI160" s="529">
        <v>304.52999999999997</v>
      </c>
      <c r="AJ160" s="253"/>
      <c r="AK160" s="535">
        <v>152</v>
      </c>
      <c r="AL160" s="536">
        <v>221.43</v>
      </c>
      <c r="AM160" s="529">
        <v>310</v>
      </c>
      <c r="AN160" s="253"/>
      <c r="AO160" s="535">
        <v>152</v>
      </c>
      <c r="AP160" s="536">
        <v>225.33</v>
      </c>
      <c r="AQ160" s="529">
        <v>315.45999999999998</v>
      </c>
      <c r="AR160" s="253"/>
      <c r="AS160" s="535">
        <v>152</v>
      </c>
      <c r="AT160" s="536">
        <v>229.24</v>
      </c>
      <c r="AU160" s="529">
        <v>320.93</v>
      </c>
      <c r="AV160" s="253"/>
      <c r="AW160" s="535">
        <v>152</v>
      </c>
      <c r="AX160" s="536">
        <v>233.14</v>
      </c>
      <c r="AY160" s="529">
        <v>326.39999999999998</v>
      </c>
      <c r="AZ160" s="253"/>
      <c r="BA160" s="535">
        <v>152</v>
      </c>
      <c r="BB160" s="536">
        <v>237.05</v>
      </c>
      <c r="BC160" s="529">
        <v>331.87</v>
      </c>
      <c r="BD160" s="253"/>
      <c r="BE160" s="535">
        <v>152</v>
      </c>
      <c r="BF160" s="536">
        <v>240.96</v>
      </c>
      <c r="BG160" s="529">
        <v>337.34</v>
      </c>
      <c r="BH160" s="253"/>
      <c r="BI160" s="535">
        <v>152</v>
      </c>
      <c r="BJ160" s="536">
        <v>244.86</v>
      </c>
      <c r="BK160" s="529">
        <v>342.81</v>
      </c>
      <c r="BL160" s="253"/>
    </row>
    <row r="161" spans="1:64" ht="23.25">
      <c r="A161" s="269">
        <v>153</v>
      </c>
      <c r="B161" s="1437">
        <f t="shared" si="4"/>
        <v>207.14</v>
      </c>
      <c r="C161" s="1438">
        <f t="shared" si="5"/>
        <v>290</v>
      </c>
      <c r="D161" s="279"/>
      <c r="E161" s="1420">
        <v>153</v>
      </c>
      <c r="F161" s="1421">
        <v>191.41</v>
      </c>
      <c r="G161" s="1414">
        <v>267.98</v>
      </c>
      <c r="H161" s="1404"/>
      <c r="I161" s="1420">
        <v>153</v>
      </c>
      <c r="J161" s="1421">
        <v>195.34</v>
      </c>
      <c r="K161" s="1414">
        <v>273.48</v>
      </c>
      <c r="L161" s="279"/>
      <c r="M161" s="535">
        <v>153</v>
      </c>
      <c r="N161" s="569">
        <v>199.28</v>
      </c>
      <c r="O161" s="569">
        <v>278.99</v>
      </c>
      <c r="P161" s="253"/>
      <c r="Q161" s="535">
        <v>153</v>
      </c>
      <c r="R161" s="569">
        <v>203.21</v>
      </c>
      <c r="S161" s="569">
        <v>284.49</v>
      </c>
      <c r="T161" s="253"/>
      <c r="U161" s="535">
        <v>153</v>
      </c>
      <c r="V161" s="569">
        <v>207.14</v>
      </c>
      <c r="W161" s="569">
        <v>290</v>
      </c>
      <c r="X161" s="253"/>
      <c r="Y161" s="535">
        <v>153</v>
      </c>
      <c r="Z161" s="536">
        <v>211.07</v>
      </c>
      <c r="AA161" s="529">
        <v>295.5</v>
      </c>
      <c r="AB161" s="253"/>
      <c r="AC161" s="535">
        <v>153</v>
      </c>
      <c r="AD161" s="536">
        <v>215</v>
      </c>
      <c r="AE161" s="529">
        <v>301.01</v>
      </c>
      <c r="AF161" s="253"/>
      <c r="AG161" s="535">
        <v>153</v>
      </c>
      <c r="AH161" s="536">
        <v>218.94</v>
      </c>
      <c r="AI161" s="529">
        <v>306.51</v>
      </c>
      <c r="AJ161" s="253"/>
      <c r="AK161" s="535">
        <v>153</v>
      </c>
      <c r="AL161" s="536">
        <v>222.87</v>
      </c>
      <c r="AM161" s="529">
        <v>312.02</v>
      </c>
      <c r="AN161" s="253"/>
      <c r="AO161" s="535">
        <v>153</v>
      </c>
      <c r="AP161" s="536">
        <v>226.8</v>
      </c>
      <c r="AQ161" s="529">
        <v>317.52</v>
      </c>
      <c r="AR161" s="253"/>
      <c r="AS161" s="535">
        <v>153</v>
      </c>
      <c r="AT161" s="536">
        <v>230.73</v>
      </c>
      <c r="AU161" s="529">
        <v>323.02</v>
      </c>
      <c r="AV161" s="253"/>
      <c r="AW161" s="535">
        <v>153</v>
      </c>
      <c r="AX161" s="536">
        <v>234.66</v>
      </c>
      <c r="AY161" s="529">
        <v>328.53</v>
      </c>
      <c r="AZ161" s="253"/>
      <c r="BA161" s="535">
        <v>153</v>
      </c>
      <c r="BB161" s="536">
        <v>238.6</v>
      </c>
      <c r="BC161" s="529">
        <v>334.03</v>
      </c>
      <c r="BD161" s="253"/>
      <c r="BE161" s="535">
        <v>153</v>
      </c>
      <c r="BF161" s="536">
        <v>242.53</v>
      </c>
      <c r="BG161" s="529">
        <v>339.54</v>
      </c>
      <c r="BH161" s="253"/>
      <c r="BI161" s="535">
        <v>153</v>
      </c>
      <c r="BJ161" s="536">
        <v>246.46</v>
      </c>
      <c r="BK161" s="529">
        <v>345.04</v>
      </c>
      <c r="BL161" s="253"/>
    </row>
    <row r="162" spans="1:64" ht="23.25">
      <c r="A162" s="269">
        <v>154</v>
      </c>
      <c r="B162" s="1437">
        <f t="shared" si="4"/>
        <v>208.48</v>
      </c>
      <c r="C162" s="1438">
        <f t="shared" si="5"/>
        <v>291.87</v>
      </c>
      <c r="D162" s="279"/>
      <c r="E162" s="1420">
        <v>154</v>
      </c>
      <c r="F162" s="1421">
        <v>192.65</v>
      </c>
      <c r="G162" s="1414">
        <v>269.70999999999998</v>
      </c>
      <c r="H162" s="1404"/>
      <c r="I162" s="1420">
        <v>154</v>
      </c>
      <c r="J162" s="1421">
        <v>196.61</v>
      </c>
      <c r="K162" s="1414">
        <v>275.25</v>
      </c>
      <c r="L162" s="279"/>
      <c r="M162" s="535">
        <v>154</v>
      </c>
      <c r="N162" s="569">
        <v>200.56</v>
      </c>
      <c r="O162" s="569">
        <v>280.79000000000002</v>
      </c>
      <c r="P162" s="253"/>
      <c r="Q162" s="535">
        <v>154</v>
      </c>
      <c r="R162" s="569">
        <v>204.52</v>
      </c>
      <c r="S162" s="569">
        <v>286.33</v>
      </c>
      <c r="T162" s="253"/>
      <c r="U162" s="535">
        <v>154</v>
      </c>
      <c r="V162" s="569">
        <v>208.48</v>
      </c>
      <c r="W162" s="569">
        <v>291.87</v>
      </c>
      <c r="X162" s="253"/>
      <c r="Y162" s="535">
        <v>154</v>
      </c>
      <c r="Z162" s="536">
        <v>212.44</v>
      </c>
      <c r="AA162" s="529">
        <v>297.41000000000003</v>
      </c>
      <c r="AB162" s="253"/>
      <c r="AC162" s="535">
        <v>154</v>
      </c>
      <c r="AD162" s="536">
        <v>216.4</v>
      </c>
      <c r="AE162" s="529">
        <v>302.95</v>
      </c>
      <c r="AF162" s="253"/>
      <c r="AG162" s="535">
        <v>154</v>
      </c>
      <c r="AH162" s="536">
        <v>220.35</v>
      </c>
      <c r="AI162" s="529">
        <v>308.5</v>
      </c>
      <c r="AJ162" s="253"/>
      <c r="AK162" s="535">
        <v>154</v>
      </c>
      <c r="AL162" s="536">
        <v>224.31</v>
      </c>
      <c r="AM162" s="529">
        <v>314.04000000000002</v>
      </c>
      <c r="AN162" s="253"/>
      <c r="AO162" s="535">
        <v>154</v>
      </c>
      <c r="AP162" s="536">
        <v>228.77</v>
      </c>
      <c r="AQ162" s="529">
        <v>319.58</v>
      </c>
      <c r="AR162" s="253"/>
      <c r="AS162" s="535">
        <v>154</v>
      </c>
      <c r="AT162" s="536">
        <v>232.23</v>
      </c>
      <c r="AU162" s="529">
        <v>325.12</v>
      </c>
      <c r="AV162" s="253"/>
      <c r="AW162" s="535">
        <v>154</v>
      </c>
      <c r="AX162" s="536">
        <v>236.18</v>
      </c>
      <c r="AY162" s="529">
        <v>330.66</v>
      </c>
      <c r="AZ162" s="253"/>
      <c r="BA162" s="535">
        <v>154</v>
      </c>
      <c r="BB162" s="536">
        <v>240.14</v>
      </c>
      <c r="BC162" s="529">
        <v>336.2</v>
      </c>
      <c r="BD162" s="253"/>
      <c r="BE162" s="535">
        <v>154</v>
      </c>
      <c r="BF162" s="536">
        <v>244.1</v>
      </c>
      <c r="BG162" s="529">
        <v>341.74</v>
      </c>
      <c r="BH162" s="253"/>
      <c r="BI162" s="535">
        <v>154</v>
      </c>
      <c r="BJ162" s="536">
        <v>248.06</v>
      </c>
      <c r="BK162" s="529">
        <v>347.28</v>
      </c>
      <c r="BL162" s="253"/>
    </row>
    <row r="163" spans="1:64" ht="23.25">
      <c r="A163" s="269">
        <v>155</v>
      </c>
      <c r="B163" s="1437">
        <f t="shared" si="4"/>
        <v>209.82</v>
      </c>
      <c r="C163" s="1438">
        <f t="shared" si="5"/>
        <v>293.75</v>
      </c>
      <c r="D163" s="279"/>
      <c r="E163" s="1420">
        <v>155</v>
      </c>
      <c r="F163" s="1421">
        <v>193.89</v>
      </c>
      <c r="G163" s="1414">
        <v>271.44</v>
      </c>
      <c r="H163" s="1404"/>
      <c r="I163" s="1420">
        <v>155</v>
      </c>
      <c r="J163" s="1421">
        <v>197.87</v>
      </c>
      <c r="K163" s="1414">
        <v>277.02</v>
      </c>
      <c r="L163" s="279"/>
      <c r="M163" s="535">
        <v>155</v>
      </c>
      <c r="N163" s="569">
        <v>201.86</v>
      </c>
      <c r="O163" s="569">
        <v>282.60000000000002</v>
      </c>
      <c r="P163" s="253"/>
      <c r="Q163" s="535">
        <v>155</v>
      </c>
      <c r="R163" s="569">
        <v>205.84</v>
      </c>
      <c r="S163" s="569">
        <v>288.17</v>
      </c>
      <c r="T163" s="253"/>
      <c r="U163" s="535">
        <v>155</v>
      </c>
      <c r="V163" s="569">
        <v>209.82</v>
      </c>
      <c r="W163" s="569">
        <v>293.75</v>
      </c>
      <c r="X163" s="253"/>
      <c r="Y163" s="535">
        <v>155</v>
      </c>
      <c r="Z163" s="536">
        <v>213.81</v>
      </c>
      <c r="AA163" s="529">
        <v>299.33</v>
      </c>
      <c r="AB163" s="253"/>
      <c r="AC163" s="535">
        <v>155</v>
      </c>
      <c r="AD163" s="536">
        <v>217.79</v>
      </c>
      <c r="AE163" s="529">
        <v>304.91000000000003</v>
      </c>
      <c r="AF163" s="253"/>
      <c r="AG163" s="535">
        <v>155</v>
      </c>
      <c r="AH163" s="536">
        <v>221.77</v>
      </c>
      <c r="AI163" s="529">
        <v>310.48</v>
      </c>
      <c r="AJ163" s="253"/>
      <c r="AK163" s="535">
        <v>155</v>
      </c>
      <c r="AL163" s="536">
        <v>225.76</v>
      </c>
      <c r="AM163" s="529">
        <v>316.06</v>
      </c>
      <c r="AN163" s="253"/>
      <c r="AO163" s="535">
        <v>155</v>
      </c>
      <c r="AP163" s="536">
        <v>229.74</v>
      </c>
      <c r="AQ163" s="529">
        <v>321.64</v>
      </c>
      <c r="AR163" s="253"/>
      <c r="AS163" s="535">
        <v>155</v>
      </c>
      <c r="AT163" s="536">
        <v>233.72</v>
      </c>
      <c r="AU163" s="529">
        <v>327.20999999999998</v>
      </c>
      <c r="AV163" s="253"/>
      <c r="AW163" s="535">
        <v>155</v>
      </c>
      <c r="AX163" s="536">
        <v>237.71</v>
      </c>
      <c r="AY163" s="529">
        <v>332.79</v>
      </c>
      <c r="AZ163" s="253"/>
      <c r="BA163" s="535">
        <v>155</v>
      </c>
      <c r="BB163" s="536">
        <v>241.69</v>
      </c>
      <c r="BC163" s="529">
        <v>338.37</v>
      </c>
      <c r="BD163" s="253"/>
      <c r="BE163" s="535">
        <v>155</v>
      </c>
      <c r="BF163" s="536">
        <v>245.67</v>
      </c>
      <c r="BG163" s="529">
        <v>343.94</v>
      </c>
      <c r="BH163" s="253"/>
      <c r="BI163" s="535">
        <v>155</v>
      </c>
      <c r="BJ163" s="536">
        <v>249.66</v>
      </c>
      <c r="BK163" s="529">
        <v>349.52</v>
      </c>
      <c r="BL163" s="253"/>
    </row>
    <row r="164" spans="1:64" ht="23.25">
      <c r="A164" s="269">
        <v>156</v>
      </c>
      <c r="B164" s="1437">
        <f t="shared" si="4"/>
        <v>211.17</v>
      </c>
      <c r="C164" s="1438">
        <f t="shared" si="5"/>
        <v>295.63</v>
      </c>
      <c r="D164" s="279"/>
      <c r="E164" s="1420">
        <v>156</v>
      </c>
      <c r="F164" s="1421">
        <v>195.13</v>
      </c>
      <c r="G164" s="1414">
        <v>273.18</v>
      </c>
      <c r="H164" s="1404"/>
      <c r="I164" s="1420">
        <v>156</v>
      </c>
      <c r="J164" s="1421">
        <v>199.14</v>
      </c>
      <c r="K164" s="1414">
        <v>278.79000000000002</v>
      </c>
      <c r="L164" s="279"/>
      <c r="M164" s="535">
        <v>156</v>
      </c>
      <c r="N164" s="569">
        <v>203.15</v>
      </c>
      <c r="O164" s="569">
        <v>284.41000000000003</v>
      </c>
      <c r="P164" s="253"/>
      <c r="Q164" s="535">
        <v>156</v>
      </c>
      <c r="R164" s="569">
        <v>207.16</v>
      </c>
      <c r="S164" s="569">
        <v>290.02</v>
      </c>
      <c r="T164" s="253"/>
      <c r="U164" s="535">
        <v>156</v>
      </c>
      <c r="V164" s="569">
        <v>211.17</v>
      </c>
      <c r="W164" s="569">
        <v>295.63</v>
      </c>
      <c r="X164" s="253"/>
      <c r="Y164" s="535">
        <v>156</v>
      </c>
      <c r="Z164" s="536">
        <v>215.17</v>
      </c>
      <c r="AA164" s="529">
        <v>301.24</v>
      </c>
      <c r="AB164" s="253"/>
      <c r="AC164" s="535">
        <v>156</v>
      </c>
      <c r="AD164" s="536">
        <v>219.18</v>
      </c>
      <c r="AE164" s="529">
        <v>306.86</v>
      </c>
      <c r="AF164" s="253"/>
      <c r="AG164" s="535">
        <v>156</v>
      </c>
      <c r="AH164" s="536">
        <v>223.19</v>
      </c>
      <c r="AI164" s="529">
        <v>312.47000000000003</v>
      </c>
      <c r="AJ164" s="253"/>
      <c r="AK164" s="535">
        <v>156</v>
      </c>
      <c r="AL164" s="536">
        <v>227.2</v>
      </c>
      <c r="AM164" s="529">
        <v>318.08</v>
      </c>
      <c r="AN164" s="253"/>
      <c r="AO164" s="535">
        <v>156</v>
      </c>
      <c r="AP164" s="536">
        <v>231.21</v>
      </c>
      <c r="AQ164" s="529">
        <v>323.7</v>
      </c>
      <c r="AR164" s="253"/>
      <c r="AS164" s="535">
        <v>156</v>
      </c>
      <c r="AT164" s="536">
        <v>235.22</v>
      </c>
      <c r="AU164" s="529">
        <v>329.31</v>
      </c>
      <c r="AV164" s="253"/>
      <c r="AW164" s="535">
        <v>156</v>
      </c>
      <c r="AX164" s="536">
        <v>239.23</v>
      </c>
      <c r="AY164" s="529">
        <v>334.92</v>
      </c>
      <c r="AZ164" s="253"/>
      <c r="BA164" s="535">
        <v>156</v>
      </c>
      <c r="BB164" s="536">
        <v>243.24</v>
      </c>
      <c r="BC164" s="529">
        <v>340.54</v>
      </c>
      <c r="BD164" s="253"/>
      <c r="BE164" s="535">
        <v>156</v>
      </c>
      <c r="BF164" s="536">
        <v>247.25</v>
      </c>
      <c r="BG164" s="529">
        <v>346.15</v>
      </c>
      <c r="BH164" s="253"/>
      <c r="BI164" s="535">
        <v>156</v>
      </c>
      <c r="BJ164" s="536">
        <v>251.26</v>
      </c>
      <c r="BK164" s="529">
        <v>351.76</v>
      </c>
      <c r="BL164" s="253"/>
    </row>
    <row r="165" spans="1:64" ht="23.25">
      <c r="A165" s="269">
        <v>157</v>
      </c>
      <c r="B165" s="1437">
        <f t="shared" si="4"/>
        <v>212.51</v>
      </c>
      <c r="C165" s="1438">
        <f t="shared" si="5"/>
        <v>297.51</v>
      </c>
      <c r="D165" s="279"/>
      <c r="E165" s="1420">
        <v>157</v>
      </c>
      <c r="F165" s="1421">
        <v>196.37</v>
      </c>
      <c r="G165" s="1414">
        <v>274.92</v>
      </c>
      <c r="H165" s="1404"/>
      <c r="I165" s="1420">
        <v>157</v>
      </c>
      <c r="J165" s="1421">
        <v>200.41</v>
      </c>
      <c r="K165" s="1414">
        <v>280.57</v>
      </c>
      <c r="L165" s="279"/>
      <c r="M165" s="535">
        <v>157</v>
      </c>
      <c r="N165" s="569">
        <v>204.44</v>
      </c>
      <c r="O165" s="569">
        <v>286.22000000000003</v>
      </c>
      <c r="P165" s="253"/>
      <c r="Q165" s="535">
        <v>157</v>
      </c>
      <c r="R165" s="569">
        <v>208.48</v>
      </c>
      <c r="S165" s="569">
        <v>291.87</v>
      </c>
      <c r="T165" s="253"/>
      <c r="U165" s="535">
        <v>157</v>
      </c>
      <c r="V165" s="569">
        <v>212.51</v>
      </c>
      <c r="W165" s="569">
        <v>297.51</v>
      </c>
      <c r="X165" s="253"/>
      <c r="Y165" s="535">
        <v>157</v>
      </c>
      <c r="Z165" s="536">
        <v>216.55</v>
      </c>
      <c r="AA165" s="529">
        <v>303.16000000000003</v>
      </c>
      <c r="AB165" s="253"/>
      <c r="AC165" s="535">
        <v>157</v>
      </c>
      <c r="AD165" s="536">
        <v>220.58</v>
      </c>
      <c r="AE165" s="529">
        <v>308.81</v>
      </c>
      <c r="AF165" s="253"/>
      <c r="AG165" s="535">
        <v>157</v>
      </c>
      <c r="AH165" s="536">
        <v>224.62</v>
      </c>
      <c r="AI165" s="529">
        <v>314.45999999999998</v>
      </c>
      <c r="AJ165" s="253"/>
      <c r="AK165" s="535">
        <v>157</v>
      </c>
      <c r="AL165" s="536">
        <v>228.65</v>
      </c>
      <c r="AM165" s="529">
        <v>320.11</v>
      </c>
      <c r="AN165" s="253"/>
      <c r="AO165" s="535">
        <v>157</v>
      </c>
      <c r="AP165" s="536">
        <v>232.68</v>
      </c>
      <c r="AQ165" s="529">
        <v>325.76</v>
      </c>
      <c r="AR165" s="253"/>
      <c r="AS165" s="535">
        <v>157</v>
      </c>
      <c r="AT165" s="536">
        <v>236.72</v>
      </c>
      <c r="AU165" s="529">
        <v>331.41</v>
      </c>
      <c r="AV165" s="253"/>
      <c r="AW165" s="535">
        <v>157</v>
      </c>
      <c r="AX165" s="536">
        <v>240.75</v>
      </c>
      <c r="AY165" s="529">
        <v>337.06</v>
      </c>
      <c r="AZ165" s="253"/>
      <c r="BA165" s="535">
        <v>157</v>
      </c>
      <c r="BB165" s="536">
        <v>244.79</v>
      </c>
      <c r="BC165" s="529">
        <v>342.71</v>
      </c>
      <c r="BD165" s="253"/>
      <c r="BE165" s="535">
        <v>157</v>
      </c>
      <c r="BF165" s="536">
        <v>248.82</v>
      </c>
      <c r="BG165" s="529">
        <v>348.35</v>
      </c>
      <c r="BH165" s="253"/>
      <c r="BI165" s="535">
        <v>157</v>
      </c>
      <c r="BJ165" s="536">
        <v>252.86</v>
      </c>
      <c r="BK165" s="529">
        <v>354</v>
      </c>
      <c r="BL165" s="253"/>
    </row>
    <row r="166" spans="1:64" ht="23.25">
      <c r="A166" s="269">
        <v>158</v>
      </c>
      <c r="B166" s="1437">
        <f t="shared" si="4"/>
        <v>213.86</v>
      </c>
      <c r="C166" s="1438">
        <f t="shared" si="5"/>
        <v>299.39999999999998</v>
      </c>
      <c r="D166" s="279"/>
      <c r="E166" s="1420">
        <v>158</v>
      </c>
      <c r="F166" s="1421">
        <v>197.61</v>
      </c>
      <c r="G166" s="1414">
        <v>276.66000000000003</v>
      </c>
      <c r="H166" s="1404"/>
      <c r="I166" s="1420">
        <v>158</v>
      </c>
      <c r="J166" s="1421">
        <v>201.67</v>
      </c>
      <c r="K166" s="1414">
        <v>282.33999999999997</v>
      </c>
      <c r="L166" s="279"/>
      <c r="M166" s="535">
        <v>158</v>
      </c>
      <c r="N166" s="569">
        <v>205.74</v>
      </c>
      <c r="O166" s="569">
        <v>288.02999999999997</v>
      </c>
      <c r="P166" s="253"/>
      <c r="Q166" s="535">
        <v>158</v>
      </c>
      <c r="R166" s="569">
        <v>209.8</v>
      </c>
      <c r="S166" s="569">
        <v>293.70999999999998</v>
      </c>
      <c r="T166" s="253"/>
      <c r="U166" s="535">
        <v>158</v>
      </c>
      <c r="V166" s="569">
        <v>213.86</v>
      </c>
      <c r="W166" s="569">
        <v>299.39999999999998</v>
      </c>
      <c r="X166" s="253"/>
      <c r="Y166" s="535">
        <v>158</v>
      </c>
      <c r="Z166" s="536">
        <v>217.92</v>
      </c>
      <c r="AA166" s="529">
        <v>305.08</v>
      </c>
      <c r="AB166" s="253"/>
      <c r="AC166" s="535">
        <v>158</v>
      </c>
      <c r="AD166" s="536">
        <v>221.98</v>
      </c>
      <c r="AE166" s="529">
        <v>310.77</v>
      </c>
      <c r="AF166" s="253"/>
      <c r="AG166" s="535">
        <v>158</v>
      </c>
      <c r="AH166" s="536">
        <v>226.04</v>
      </c>
      <c r="AI166" s="529">
        <v>316.45</v>
      </c>
      <c r="AJ166" s="253"/>
      <c r="AK166" s="535">
        <v>158</v>
      </c>
      <c r="AL166" s="536">
        <v>230.1</v>
      </c>
      <c r="AM166" s="529">
        <v>322.14</v>
      </c>
      <c r="AN166" s="253"/>
      <c r="AO166" s="535">
        <v>158</v>
      </c>
      <c r="AP166" s="536">
        <v>234.19</v>
      </c>
      <c r="AQ166" s="529">
        <v>327.82</v>
      </c>
      <c r="AR166" s="253"/>
      <c r="AS166" s="535">
        <v>158</v>
      </c>
      <c r="AT166" s="536">
        <v>238.22</v>
      </c>
      <c r="AU166" s="529">
        <v>333.51</v>
      </c>
      <c r="AV166" s="253"/>
      <c r="AW166" s="535">
        <v>158</v>
      </c>
      <c r="AX166" s="536">
        <v>242.28</v>
      </c>
      <c r="AY166" s="529">
        <v>339.19</v>
      </c>
      <c r="AZ166" s="253"/>
      <c r="BA166" s="535">
        <v>158</v>
      </c>
      <c r="BB166" s="536">
        <v>246.34</v>
      </c>
      <c r="BC166" s="529">
        <v>344.88</v>
      </c>
      <c r="BD166" s="253"/>
      <c r="BE166" s="535">
        <v>158</v>
      </c>
      <c r="BF166" s="536">
        <v>250.4</v>
      </c>
      <c r="BG166" s="529">
        <v>350.56</v>
      </c>
      <c r="BH166" s="253"/>
      <c r="BI166" s="535">
        <v>158</v>
      </c>
      <c r="BJ166" s="536">
        <v>254.46</v>
      </c>
      <c r="BK166" s="529">
        <v>356.25</v>
      </c>
      <c r="BL166" s="253"/>
    </row>
    <row r="167" spans="1:64" ht="23.25">
      <c r="A167" s="269">
        <v>159</v>
      </c>
      <c r="B167" s="1437">
        <f t="shared" si="4"/>
        <v>215.2</v>
      </c>
      <c r="C167" s="1438">
        <f t="shared" si="5"/>
        <v>301.27999999999997</v>
      </c>
      <c r="D167" s="279"/>
      <c r="E167" s="1420">
        <v>159</v>
      </c>
      <c r="F167" s="1421">
        <v>198.86</v>
      </c>
      <c r="G167" s="1414">
        <v>278.39999999999998</v>
      </c>
      <c r="H167" s="1404"/>
      <c r="I167" s="1420">
        <v>159</v>
      </c>
      <c r="J167" s="1421">
        <v>202.94</v>
      </c>
      <c r="K167" s="1414">
        <v>284.12</v>
      </c>
      <c r="L167" s="279"/>
      <c r="M167" s="535">
        <v>159</v>
      </c>
      <c r="N167" s="569">
        <v>207.03</v>
      </c>
      <c r="O167" s="569">
        <v>289.83999999999997</v>
      </c>
      <c r="P167" s="253"/>
      <c r="Q167" s="535">
        <v>159</v>
      </c>
      <c r="R167" s="569">
        <v>211.12</v>
      </c>
      <c r="S167" s="569">
        <v>295.56</v>
      </c>
      <c r="T167" s="253"/>
      <c r="U167" s="535">
        <v>159</v>
      </c>
      <c r="V167" s="569">
        <v>215.2</v>
      </c>
      <c r="W167" s="569">
        <v>301.27999999999997</v>
      </c>
      <c r="X167" s="253"/>
      <c r="Y167" s="535">
        <v>159</v>
      </c>
      <c r="Z167" s="536">
        <v>219.29</v>
      </c>
      <c r="AA167" s="529">
        <v>307.01</v>
      </c>
      <c r="AB167" s="253"/>
      <c r="AC167" s="535">
        <v>159</v>
      </c>
      <c r="AD167" s="536">
        <v>223.38</v>
      </c>
      <c r="AE167" s="529">
        <v>312.73</v>
      </c>
      <c r="AF167" s="253"/>
      <c r="AG167" s="535">
        <v>159</v>
      </c>
      <c r="AH167" s="536">
        <v>227.46</v>
      </c>
      <c r="AI167" s="529">
        <v>318.45</v>
      </c>
      <c r="AJ167" s="253"/>
      <c r="AK167" s="535">
        <v>159</v>
      </c>
      <c r="AL167" s="536">
        <v>231.55</v>
      </c>
      <c r="AM167" s="529">
        <v>324.17</v>
      </c>
      <c r="AN167" s="253"/>
      <c r="AO167" s="535">
        <v>159</v>
      </c>
      <c r="AP167" s="536">
        <v>235.63</v>
      </c>
      <c r="AQ167" s="529">
        <v>329.89</v>
      </c>
      <c r="AR167" s="253"/>
      <c r="AS167" s="535">
        <v>159</v>
      </c>
      <c r="AT167" s="536">
        <v>239.72</v>
      </c>
      <c r="AU167" s="529">
        <v>335.61</v>
      </c>
      <c r="AV167" s="253"/>
      <c r="AW167" s="535">
        <v>159</v>
      </c>
      <c r="AX167" s="536">
        <v>243.81</v>
      </c>
      <c r="AY167" s="529">
        <v>341.33</v>
      </c>
      <c r="AZ167" s="253"/>
      <c r="BA167" s="535">
        <v>159</v>
      </c>
      <c r="BB167" s="536">
        <v>247.89</v>
      </c>
      <c r="BC167" s="529">
        <v>347.05</v>
      </c>
      <c r="BD167" s="253"/>
      <c r="BE167" s="535">
        <v>159</v>
      </c>
      <c r="BF167" s="536">
        <v>251.98</v>
      </c>
      <c r="BG167" s="529">
        <v>352.77</v>
      </c>
      <c r="BH167" s="253"/>
      <c r="BI167" s="535">
        <v>159</v>
      </c>
      <c r="BJ167" s="536">
        <v>256.07</v>
      </c>
      <c r="BK167" s="529">
        <v>358</v>
      </c>
      <c r="BL167" s="253"/>
    </row>
    <row r="168" spans="1:64" ht="23.25">
      <c r="A168" s="269">
        <v>160</v>
      </c>
      <c r="B168" s="1437">
        <f t="shared" si="4"/>
        <v>216.55</v>
      </c>
      <c r="C168" s="1438">
        <f t="shared" si="5"/>
        <v>303.17</v>
      </c>
      <c r="D168" s="279"/>
      <c r="E168" s="1420">
        <v>160</v>
      </c>
      <c r="F168" s="1421">
        <v>200.1</v>
      </c>
      <c r="G168" s="1414">
        <v>280.14999999999998</v>
      </c>
      <c r="H168" s="1404"/>
      <c r="I168" s="1420">
        <v>160</v>
      </c>
      <c r="J168" s="1421">
        <v>204.22</v>
      </c>
      <c r="K168" s="1414">
        <v>285.89999999999998</v>
      </c>
      <c r="L168" s="279"/>
      <c r="M168" s="535">
        <v>160</v>
      </c>
      <c r="N168" s="569">
        <v>208.33</v>
      </c>
      <c r="O168" s="569">
        <v>291.66000000000003</v>
      </c>
      <c r="P168" s="253"/>
      <c r="Q168" s="535">
        <v>160</v>
      </c>
      <c r="R168" s="569">
        <v>212.44</v>
      </c>
      <c r="S168" s="569">
        <v>297.42</v>
      </c>
      <c r="T168" s="253"/>
      <c r="U168" s="535">
        <v>160</v>
      </c>
      <c r="V168" s="569">
        <v>216.55</v>
      </c>
      <c r="W168" s="569">
        <v>303.17</v>
      </c>
      <c r="X168" s="253"/>
      <c r="Y168" s="535">
        <v>160</v>
      </c>
      <c r="Z168" s="536">
        <v>220.66</v>
      </c>
      <c r="AA168" s="529">
        <v>308.93</v>
      </c>
      <c r="AB168" s="253"/>
      <c r="AC168" s="535">
        <v>160</v>
      </c>
      <c r="AD168" s="536">
        <v>224.78</v>
      </c>
      <c r="AE168" s="529">
        <v>314.69</v>
      </c>
      <c r="AF168" s="253"/>
      <c r="AG168" s="535">
        <v>160</v>
      </c>
      <c r="AH168" s="536">
        <v>228.89</v>
      </c>
      <c r="AI168" s="529">
        <v>320.44</v>
      </c>
      <c r="AJ168" s="253"/>
      <c r="AK168" s="535">
        <v>160</v>
      </c>
      <c r="AL168" s="536">
        <v>233</v>
      </c>
      <c r="AM168" s="529">
        <v>326.2</v>
      </c>
      <c r="AN168" s="253"/>
      <c r="AO168" s="535">
        <v>160</v>
      </c>
      <c r="AP168" s="536">
        <v>237.11</v>
      </c>
      <c r="AQ168" s="529">
        <v>331.96</v>
      </c>
      <c r="AR168" s="253"/>
      <c r="AS168" s="535">
        <v>160</v>
      </c>
      <c r="AT168" s="536">
        <v>241.22</v>
      </c>
      <c r="AU168" s="529">
        <v>337.71</v>
      </c>
      <c r="AV168" s="253"/>
      <c r="AW168" s="535">
        <v>160</v>
      </c>
      <c r="AX168" s="536">
        <v>245.34</v>
      </c>
      <c r="AY168" s="529">
        <v>343.47</v>
      </c>
      <c r="AZ168" s="253"/>
      <c r="BA168" s="535">
        <v>160</v>
      </c>
      <c r="BB168" s="536">
        <v>249.45</v>
      </c>
      <c r="BC168" s="529">
        <v>349.23</v>
      </c>
      <c r="BD168" s="253"/>
      <c r="BE168" s="535">
        <v>160</v>
      </c>
      <c r="BF168" s="536">
        <v>253.56</v>
      </c>
      <c r="BG168" s="529">
        <v>354.98</v>
      </c>
      <c r="BH168" s="253"/>
      <c r="BI168" s="535">
        <v>160</v>
      </c>
      <c r="BJ168" s="536">
        <v>257.67</v>
      </c>
      <c r="BK168" s="529">
        <v>360.74</v>
      </c>
      <c r="BL168" s="253"/>
    </row>
    <row r="169" spans="1:64" ht="23.25">
      <c r="A169" s="269">
        <v>161</v>
      </c>
      <c r="B169" s="1437">
        <f t="shared" si="4"/>
        <v>217.9</v>
      </c>
      <c r="C169" s="1438">
        <f t="shared" si="5"/>
        <v>305.06</v>
      </c>
      <c r="D169" s="279"/>
      <c r="E169" s="1420">
        <v>161</v>
      </c>
      <c r="F169" s="1421">
        <v>201.35</v>
      </c>
      <c r="G169" s="1414">
        <v>281.89</v>
      </c>
      <c r="H169" s="1404"/>
      <c r="I169" s="1420">
        <v>161</v>
      </c>
      <c r="J169" s="1421">
        <v>205.49</v>
      </c>
      <c r="K169" s="1414">
        <v>287.68</v>
      </c>
      <c r="L169" s="279"/>
      <c r="M169" s="535">
        <v>161</v>
      </c>
      <c r="N169" s="569">
        <v>209.63</v>
      </c>
      <c r="O169" s="569">
        <v>293.48</v>
      </c>
      <c r="P169" s="253"/>
      <c r="Q169" s="535">
        <v>161</v>
      </c>
      <c r="R169" s="569">
        <v>213.76</v>
      </c>
      <c r="S169" s="569">
        <v>299.27</v>
      </c>
      <c r="T169" s="253"/>
      <c r="U169" s="535">
        <v>161</v>
      </c>
      <c r="V169" s="569">
        <v>217.9</v>
      </c>
      <c r="W169" s="569">
        <v>305.06</v>
      </c>
      <c r="X169" s="253"/>
      <c r="Y169" s="535">
        <v>161</v>
      </c>
      <c r="Z169" s="536">
        <v>222.04</v>
      </c>
      <c r="AA169" s="529">
        <v>310.86</v>
      </c>
      <c r="AB169" s="253"/>
      <c r="AC169" s="535">
        <v>161</v>
      </c>
      <c r="AD169" s="536">
        <v>226.18</v>
      </c>
      <c r="AE169" s="529">
        <v>316.64999999999998</v>
      </c>
      <c r="AF169" s="253"/>
      <c r="AG169" s="535">
        <v>161</v>
      </c>
      <c r="AH169" s="536">
        <v>230.31</v>
      </c>
      <c r="AI169" s="529">
        <v>322.44</v>
      </c>
      <c r="AJ169" s="253"/>
      <c r="AK169" s="535">
        <v>161</v>
      </c>
      <c r="AL169" s="536">
        <v>234.45</v>
      </c>
      <c r="AM169" s="529">
        <v>328.23</v>
      </c>
      <c r="AN169" s="253"/>
      <c r="AO169" s="535">
        <v>161</v>
      </c>
      <c r="AP169" s="536">
        <v>238.59</v>
      </c>
      <c r="AQ169" s="529">
        <v>334.03</v>
      </c>
      <c r="AR169" s="253"/>
      <c r="AS169" s="535">
        <v>161</v>
      </c>
      <c r="AT169" s="536">
        <v>242.73</v>
      </c>
      <c r="AU169" s="529">
        <v>339.82</v>
      </c>
      <c r="AV169" s="253"/>
      <c r="AW169" s="535">
        <v>161</v>
      </c>
      <c r="AX169" s="536">
        <v>246.87</v>
      </c>
      <c r="AY169" s="529">
        <v>345.61</v>
      </c>
      <c r="AZ169" s="253"/>
      <c r="BA169" s="535">
        <v>161</v>
      </c>
      <c r="BB169" s="536">
        <v>251</v>
      </c>
      <c r="BC169" s="529">
        <v>351.4</v>
      </c>
      <c r="BD169" s="253"/>
      <c r="BE169" s="535">
        <v>161</v>
      </c>
      <c r="BF169" s="536">
        <v>255.14</v>
      </c>
      <c r="BG169" s="529">
        <v>357.2</v>
      </c>
      <c r="BH169" s="253"/>
      <c r="BI169" s="535">
        <v>161</v>
      </c>
      <c r="BJ169" s="536">
        <v>259.27999999999997</v>
      </c>
      <c r="BK169" s="529">
        <v>362.99</v>
      </c>
      <c r="BL169" s="253"/>
    </row>
    <row r="170" spans="1:64" ht="23.25">
      <c r="A170" s="269">
        <v>162</v>
      </c>
      <c r="B170" s="1437">
        <f t="shared" si="4"/>
        <v>219.25</v>
      </c>
      <c r="C170" s="1438">
        <f t="shared" si="5"/>
        <v>306.95</v>
      </c>
      <c r="D170" s="279"/>
      <c r="E170" s="1420">
        <v>162</v>
      </c>
      <c r="F170" s="1421">
        <v>202.6</v>
      </c>
      <c r="G170" s="1414">
        <v>283.64</v>
      </c>
      <c r="H170" s="1404"/>
      <c r="I170" s="1420">
        <v>162</v>
      </c>
      <c r="J170" s="1421">
        <v>206.76</v>
      </c>
      <c r="K170" s="1414">
        <v>289.47000000000003</v>
      </c>
      <c r="L170" s="279"/>
      <c r="M170" s="535">
        <v>162</v>
      </c>
      <c r="N170" s="569">
        <v>210.93</v>
      </c>
      <c r="O170" s="569">
        <v>295.3</v>
      </c>
      <c r="P170" s="253"/>
      <c r="Q170" s="535">
        <v>162</v>
      </c>
      <c r="R170" s="569">
        <v>215.09</v>
      </c>
      <c r="S170" s="569">
        <v>301.13</v>
      </c>
      <c r="T170" s="253"/>
      <c r="U170" s="535">
        <v>162</v>
      </c>
      <c r="V170" s="569">
        <v>219.25</v>
      </c>
      <c r="W170" s="569">
        <v>306.95</v>
      </c>
      <c r="X170" s="253"/>
      <c r="Y170" s="535">
        <v>162</v>
      </c>
      <c r="Z170" s="536">
        <v>223.42</v>
      </c>
      <c r="AA170" s="529">
        <v>312.77999999999997</v>
      </c>
      <c r="AB170" s="253"/>
      <c r="AC170" s="535">
        <v>162</v>
      </c>
      <c r="AD170" s="536">
        <v>227.58</v>
      </c>
      <c r="AE170" s="529">
        <v>318.61</v>
      </c>
      <c r="AF170" s="253"/>
      <c r="AG170" s="535">
        <v>162</v>
      </c>
      <c r="AH170" s="536">
        <v>231.74</v>
      </c>
      <c r="AI170" s="529">
        <v>324.44</v>
      </c>
      <c r="AJ170" s="253"/>
      <c r="AK170" s="535">
        <v>162</v>
      </c>
      <c r="AL170" s="536">
        <v>235.91</v>
      </c>
      <c r="AM170" s="529">
        <v>330.27</v>
      </c>
      <c r="AN170" s="253"/>
      <c r="AO170" s="535">
        <v>162</v>
      </c>
      <c r="AP170" s="536">
        <v>240.07</v>
      </c>
      <c r="AQ170" s="529">
        <v>336.1</v>
      </c>
      <c r="AR170" s="253"/>
      <c r="AS170" s="535">
        <v>162</v>
      </c>
      <c r="AT170" s="536">
        <v>244.23</v>
      </c>
      <c r="AU170" s="529">
        <v>341.93</v>
      </c>
      <c r="AV170" s="253"/>
      <c r="AW170" s="535">
        <v>162</v>
      </c>
      <c r="AX170" s="536">
        <v>248.4</v>
      </c>
      <c r="AY170" s="529">
        <v>347.76</v>
      </c>
      <c r="AZ170" s="253"/>
      <c r="BA170" s="535">
        <v>162</v>
      </c>
      <c r="BB170" s="536">
        <v>252.56</v>
      </c>
      <c r="BC170" s="529">
        <v>353.58</v>
      </c>
      <c r="BD170" s="253"/>
      <c r="BE170" s="535">
        <v>162</v>
      </c>
      <c r="BF170" s="536">
        <v>256.72000000000003</v>
      </c>
      <c r="BG170" s="529">
        <v>359.41</v>
      </c>
      <c r="BH170" s="253"/>
      <c r="BI170" s="535">
        <v>162</v>
      </c>
      <c r="BJ170" s="536">
        <v>260.89</v>
      </c>
      <c r="BK170" s="529">
        <v>365.24</v>
      </c>
      <c r="BL170" s="253"/>
    </row>
    <row r="171" spans="1:64" ht="23.25">
      <c r="A171" s="269">
        <v>163</v>
      </c>
      <c r="B171" s="1437">
        <f t="shared" si="4"/>
        <v>220.61</v>
      </c>
      <c r="C171" s="1438">
        <f t="shared" si="5"/>
        <v>308.85000000000002</v>
      </c>
      <c r="D171" s="279"/>
      <c r="E171" s="1420">
        <v>163</v>
      </c>
      <c r="F171" s="1421">
        <v>203.85</v>
      </c>
      <c r="G171" s="1414">
        <v>285.39</v>
      </c>
      <c r="H171" s="1404"/>
      <c r="I171" s="1420">
        <v>163</v>
      </c>
      <c r="J171" s="1421">
        <v>208.04</v>
      </c>
      <c r="K171" s="1414">
        <v>291.25</v>
      </c>
      <c r="L171" s="279"/>
      <c r="M171" s="535">
        <v>163</v>
      </c>
      <c r="N171" s="569">
        <v>212.23</v>
      </c>
      <c r="O171" s="569">
        <v>297.12</v>
      </c>
      <c r="P171" s="253"/>
      <c r="Q171" s="535">
        <v>163</v>
      </c>
      <c r="R171" s="569">
        <v>216.42</v>
      </c>
      <c r="S171" s="569">
        <v>302.98</v>
      </c>
      <c r="T171" s="253"/>
      <c r="U171" s="535">
        <v>163</v>
      </c>
      <c r="V171" s="569">
        <v>220.61</v>
      </c>
      <c r="W171" s="569">
        <v>308.85000000000002</v>
      </c>
      <c r="X171" s="253"/>
      <c r="Y171" s="535">
        <v>163</v>
      </c>
      <c r="Z171" s="536">
        <v>224.79</v>
      </c>
      <c r="AA171" s="529">
        <v>314.70999999999998</v>
      </c>
      <c r="AB171" s="253"/>
      <c r="AC171" s="535">
        <v>163</v>
      </c>
      <c r="AD171" s="536">
        <v>228.98</v>
      </c>
      <c r="AE171" s="529">
        <v>320.58</v>
      </c>
      <c r="AF171" s="253"/>
      <c r="AG171" s="535">
        <v>163</v>
      </c>
      <c r="AH171" s="536">
        <v>233.17</v>
      </c>
      <c r="AI171" s="529">
        <v>326.44</v>
      </c>
      <c r="AJ171" s="253"/>
      <c r="AK171" s="535">
        <v>163</v>
      </c>
      <c r="AL171" s="536">
        <v>237.36</v>
      </c>
      <c r="AM171" s="529">
        <v>332.31</v>
      </c>
      <c r="AN171" s="253"/>
      <c r="AO171" s="535">
        <v>163</v>
      </c>
      <c r="AP171" s="536">
        <v>241.55</v>
      </c>
      <c r="AQ171" s="529">
        <v>338.17</v>
      </c>
      <c r="AR171" s="253"/>
      <c r="AS171" s="535">
        <v>163</v>
      </c>
      <c r="AT171" s="536">
        <v>245.74</v>
      </c>
      <c r="AU171" s="529">
        <v>344.04</v>
      </c>
      <c r="AV171" s="253"/>
      <c r="AW171" s="535">
        <v>163</v>
      </c>
      <c r="AX171" s="536">
        <v>249.93</v>
      </c>
      <c r="AY171" s="529">
        <v>349.9</v>
      </c>
      <c r="AZ171" s="253"/>
      <c r="BA171" s="535">
        <v>163</v>
      </c>
      <c r="BB171" s="536">
        <v>254.12</v>
      </c>
      <c r="BC171" s="529">
        <v>355.77</v>
      </c>
      <c r="BD171" s="253"/>
      <c r="BE171" s="535">
        <v>163</v>
      </c>
      <c r="BF171" s="536">
        <v>258.31</v>
      </c>
      <c r="BG171" s="529">
        <v>361.63</v>
      </c>
      <c r="BH171" s="253"/>
      <c r="BI171" s="535">
        <v>163</v>
      </c>
      <c r="BJ171" s="536">
        <v>262.5</v>
      </c>
      <c r="BK171" s="529">
        <v>367.5</v>
      </c>
      <c r="BL171" s="253"/>
    </row>
    <row r="172" spans="1:64" ht="23.25">
      <c r="A172" s="269">
        <v>164</v>
      </c>
      <c r="B172" s="1437">
        <f t="shared" si="4"/>
        <v>221.96</v>
      </c>
      <c r="C172" s="1438">
        <f t="shared" si="5"/>
        <v>310.74</v>
      </c>
      <c r="D172" s="279"/>
      <c r="E172" s="1420">
        <v>164</v>
      </c>
      <c r="F172" s="1421">
        <v>205.1</v>
      </c>
      <c r="G172" s="1414">
        <v>287.14</v>
      </c>
      <c r="H172" s="1404"/>
      <c r="I172" s="1420">
        <v>164</v>
      </c>
      <c r="J172" s="1421">
        <v>209.32</v>
      </c>
      <c r="K172" s="1414">
        <v>293.04000000000002</v>
      </c>
      <c r="L172" s="279"/>
      <c r="M172" s="535">
        <v>164</v>
      </c>
      <c r="N172" s="569">
        <v>213.53</v>
      </c>
      <c r="O172" s="569">
        <v>298.94</v>
      </c>
      <c r="P172" s="253"/>
      <c r="Q172" s="535">
        <v>164</v>
      </c>
      <c r="R172" s="569">
        <v>217.75</v>
      </c>
      <c r="S172" s="569">
        <v>304.83999999999997</v>
      </c>
      <c r="T172" s="253"/>
      <c r="U172" s="535">
        <v>164</v>
      </c>
      <c r="V172" s="569">
        <v>221.96</v>
      </c>
      <c r="W172" s="569">
        <v>310.74</v>
      </c>
      <c r="X172" s="253"/>
      <c r="Y172" s="535">
        <v>164</v>
      </c>
      <c r="Z172" s="536">
        <v>226.17</v>
      </c>
      <c r="AA172" s="529">
        <v>316.64</v>
      </c>
      <c r="AB172" s="253"/>
      <c r="AC172" s="535">
        <v>164</v>
      </c>
      <c r="AD172" s="536">
        <v>230.39</v>
      </c>
      <c r="AE172" s="529">
        <v>322.55</v>
      </c>
      <c r="AF172" s="253"/>
      <c r="AG172" s="535">
        <v>164</v>
      </c>
      <c r="AH172" s="536">
        <v>234.6</v>
      </c>
      <c r="AI172" s="529">
        <v>328.45</v>
      </c>
      <c r="AJ172" s="253"/>
      <c r="AK172" s="535">
        <v>164</v>
      </c>
      <c r="AL172" s="536">
        <v>238.82</v>
      </c>
      <c r="AM172" s="529">
        <v>334.35</v>
      </c>
      <c r="AN172" s="253"/>
      <c r="AO172" s="535">
        <v>164</v>
      </c>
      <c r="AP172" s="536">
        <v>243.03</v>
      </c>
      <c r="AQ172" s="529">
        <v>340.25</v>
      </c>
      <c r="AR172" s="253"/>
      <c r="AS172" s="535">
        <v>164</v>
      </c>
      <c r="AT172" s="536">
        <v>247.25</v>
      </c>
      <c r="AU172" s="529">
        <v>346.15</v>
      </c>
      <c r="AV172" s="253"/>
      <c r="AW172" s="535">
        <v>164</v>
      </c>
      <c r="AX172" s="536">
        <v>251.46</v>
      </c>
      <c r="AY172" s="529">
        <v>352.05</v>
      </c>
      <c r="AZ172" s="253"/>
      <c r="BA172" s="535">
        <v>164</v>
      </c>
      <c r="BB172" s="536">
        <v>255.68</v>
      </c>
      <c r="BC172" s="529">
        <v>357.95</v>
      </c>
      <c r="BD172" s="253"/>
      <c r="BE172" s="535">
        <v>164</v>
      </c>
      <c r="BF172" s="536">
        <v>259.89</v>
      </c>
      <c r="BG172" s="529">
        <v>363.85</v>
      </c>
      <c r="BH172" s="253"/>
      <c r="BI172" s="535">
        <v>164</v>
      </c>
      <c r="BJ172" s="536">
        <v>264.11</v>
      </c>
      <c r="BK172" s="529">
        <v>369.75</v>
      </c>
      <c r="BL172" s="253"/>
    </row>
    <row r="173" spans="1:64" ht="23.25">
      <c r="A173" s="269">
        <v>165</v>
      </c>
      <c r="B173" s="1437">
        <f t="shared" si="4"/>
        <v>223.32</v>
      </c>
      <c r="C173" s="1438">
        <f t="shared" si="5"/>
        <v>312.64</v>
      </c>
      <c r="D173" s="279"/>
      <c r="E173" s="1420">
        <v>165</v>
      </c>
      <c r="F173" s="1421">
        <v>206.35</v>
      </c>
      <c r="G173" s="1414">
        <v>288.89999999999998</v>
      </c>
      <c r="H173" s="1404"/>
      <c r="I173" s="1420">
        <v>165</v>
      </c>
      <c r="J173" s="1421">
        <v>210.59</v>
      </c>
      <c r="K173" s="1414">
        <v>294.83</v>
      </c>
      <c r="L173" s="279"/>
      <c r="M173" s="535">
        <v>165</v>
      </c>
      <c r="N173" s="569">
        <v>214.83</v>
      </c>
      <c r="O173" s="569">
        <v>300.77</v>
      </c>
      <c r="P173" s="253"/>
      <c r="Q173" s="535">
        <v>165</v>
      </c>
      <c r="R173" s="569">
        <v>219.08</v>
      </c>
      <c r="S173" s="569">
        <v>306.70999999999998</v>
      </c>
      <c r="T173" s="253"/>
      <c r="U173" s="535">
        <v>165</v>
      </c>
      <c r="V173" s="569">
        <v>223.32</v>
      </c>
      <c r="W173" s="569">
        <v>312.64</v>
      </c>
      <c r="X173" s="253"/>
      <c r="Y173" s="535">
        <v>165</v>
      </c>
      <c r="Z173" s="536">
        <v>227.56</v>
      </c>
      <c r="AA173" s="529">
        <v>318.58</v>
      </c>
      <c r="AB173" s="253"/>
      <c r="AC173" s="535">
        <v>165</v>
      </c>
      <c r="AD173" s="536">
        <v>231.8</v>
      </c>
      <c r="AE173" s="529">
        <v>324.52</v>
      </c>
      <c r="AF173" s="253"/>
      <c r="AG173" s="535">
        <v>165</v>
      </c>
      <c r="AH173" s="536">
        <v>236.04</v>
      </c>
      <c r="AI173" s="529">
        <v>330.45</v>
      </c>
      <c r="AJ173" s="253"/>
      <c r="AK173" s="535">
        <v>165</v>
      </c>
      <c r="AL173" s="536">
        <v>240.28</v>
      </c>
      <c r="AM173" s="529">
        <v>336.39</v>
      </c>
      <c r="AN173" s="253"/>
      <c r="AO173" s="535">
        <v>165</v>
      </c>
      <c r="AP173" s="536">
        <v>244.52</v>
      </c>
      <c r="AQ173" s="529">
        <v>342.33</v>
      </c>
      <c r="AR173" s="253"/>
      <c r="AS173" s="535">
        <v>165</v>
      </c>
      <c r="AT173" s="536">
        <v>248.76</v>
      </c>
      <c r="AU173" s="529">
        <v>348.26</v>
      </c>
      <c r="AV173" s="253"/>
      <c r="AW173" s="535">
        <v>165</v>
      </c>
      <c r="AX173" s="536">
        <v>253</v>
      </c>
      <c r="AY173" s="529">
        <v>354.2</v>
      </c>
      <c r="AZ173" s="253"/>
      <c r="BA173" s="535">
        <v>165</v>
      </c>
      <c r="BB173" s="536">
        <v>257.24</v>
      </c>
      <c r="BC173" s="529">
        <v>360.14</v>
      </c>
      <c r="BD173" s="253"/>
      <c r="BE173" s="535">
        <v>165</v>
      </c>
      <c r="BF173" s="536">
        <v>261.48</v>
      </c>
      <c r="BG173" s="529">
        <v>366.07</v>
      </c>
      <c r="BH173" s="253"/>
      <c r="BI173" s="535">
        <v>165</v>
      </c>
      <c r="BJ173" s="536">
        <v>265.72000000000003</v>
      </c>
      <c r="BK173" s="529">
        <v>372.01</v>
      </c>
      <c r="BL173" s="253"/>
    </row>
    <row r="174" spans="1:64" ht="23.25">
      <c r="A174" s="269">
        <v>166</v>
      </c>
      <c r="B174" s="1437">
        <f t="shared" si="4"/>
        <v>224.67</v>
      </c>
      <c r="C174" s="1438">
        <f t="shared" si="5"/>
        <v>314.54000000000002</v>
      </c>
      <c r="D174" s="279"/>
      <c r="E174" s="1420">
        <v>166</v>
      </c>
      <c r="F174" s="1421">
        <v>207.61</v>
      </c>
      <c r="G174" s="1414">
        <v>290.64999999999998</v>
      </c>
      <c r="H174" s="1404"/>
      <c r="I174" s="1420">
        <v>166</v>
      </c>
      <c r="J174" s="1421">
        <v>211.87</v>
      </c>
      <c r="K174" s="1414">
        <v>296.62</v>
      </c>
      <c r="L174" s="279"/>
      <c r="M174" s="535">
        <v>166</v>
      </c>
      <c r="N174" s="569">
        <v>216.14</v>
      </c>
      <c r="O174" s="569">
        <v>302.60000000000002</v>
      </c>
      <c r="P174" s="253"/>
      <c r="Q174" s="535">
        <v>166</v>
      </c>
      <c r="R174" s="569">
        <v>220.41</v>
      </c>
      <c r="S174" s="569">
        <v>308.57</v>
      </c>
      <c r="T174" s="253"/>
      <c r="U174" s="535">
        <v>166</v>
      </c>
      <c r="V174" s="569">
        <v>224.67</v>
      </c>
      <c r="W174" s="569">
        <v>314.54000000000002</v>
      </c>
      <c r="X174" s="253"/>
      <c r="Y174" s="535">
        <v>166</v>
      </c>
      <c r="Z174" s="536">
        <v>228.94</v>
      </c>
      <c r="AA174" s="529">
        <v>320.51</v>
      </c>
      <c r="AB174" s="253"/>
      <c r="AC174" s="535">
        <v>166</v>
      </c>
      <c r="AD174" s="536">
        <v>233.21</v>
      </c>
      <c r="AE174" s="529">
        <v>326.49</v>
      </c>
      <c r="AF174" s="253"/>
      <c r="AG174" s="535">
        <v>166</v>
      </c>
      <c r="AH174" s="536">
        <v>237.47</v>
      </c>
      <c r="AI174" s="529">
        <v>332.46</v>
      </c>
      <c r="AJ174" s="253"/>
      <c r="AK174" s="535">
        <v>166</v>
      </c>
      <c r="AL174" s="536">
        <v>241.74</v>
      </c>
      <c r="AM174" s="529">
        <v>338.43</v>
      </c>
      <c r="AN174" s="253"/>
      <c r="AO174" s="535">
        <v>166</v>
      </c>
      <c r="AP174" s="536">
        <v>246</v>
      </c>
      <c r="AQ174" s="529">
        <v>344.41</v>
      </c>
      <c r="AR174" s="253"/>
      <c r="AS174" s="535">
        <v>166</v>
      </c>
      <c r="AT174" s="536">
        <v>250.27</v>
      </c>
      <c r="AU174" s="529">
        <v>350.38</v>
      </c>
      <c r="AV174" s="253"/>
      <c r="AW174" s="535">
        <v>166</v>
      </c>
      <c r="AX174" s="536">
        <v>254.54</v>
      </c>
      <c r="AY174" s="529">
        <v>356.35</v>
      </c>
      <c r="AZ174" s="253"/>
      <c r="BA174" s="535">
        <v>166</v>
      </c>
      <c r="BB174" s="536">
        <v>258.8</v>
      </c>
      <c r="BC174" s="529">
        <v>362.32</v>
      </c>
      <c r="BD174" s="253"/>
      <c r="BE174" s="535">
        <v>166</v>
      </c>
      <c r="BF174" s="536">
        <v>263.07</v>
      </c>
      <c r="BG174" s="529">
        <v>368.3</v>
      </c>
      <c r="BH174" s="253"/>
      <c r="BI174" s="535">
        <v>166</v>
      </c>
      <c r="BJ174" s="536">
        <v>267.33</v>
      </c>
      <c r="BK174" s="529">
        <v>374.27</v>
      </c>
      <c r="BL174" s="253"/>
    </row>
    <row r="175" spans="1:64" ht="23.25">
      <c r="A175" s="269">
        <v>167</v>
      </c>
      <c r="B175" s="1437">
        <f t="shared" si="4"/>
        <v>226.03</v>
      </c>
      <c r="C175" s="1438">
        <f t="shared" si="5"/>
        <v>316.44</v>
      </c>
      <c r="D175" s="279"/>
      <c r="E175" s="1420">
        <v>167</v>
      </c>
      <c r="F175" s="1421">
        <v>208.86</v>
      </c>
      <c r="G175" s="1414">
        <v>292.41000000000003</v>
      </c>
      <c r="H175" s="1404"/>
      <c r="I175" s="1420">
        <v>167</v>
      </c>
      <c r="J175" s="1421">
        <v>213.16</v>
      </c>
      <c r="K175" s="1414">
        <v>298.42</v>
      </c>
      <c r="L175" s="279"/>
      <c r="M175" s="535">
        <v>167</v>
      </c>
      <c r="N175" s="569">
        <v>217.45</v>
      </c>
      <c r="O175" s="569">
        <v>304.43</v>
      </c>
      <c r="P175" s="253"/>
      <c r="Q175" s="535">
        <v>167</v>
      </c>
      <c r="R175" s="569">
        <v>221.74</v>
      </c>
      <c r="S175" s="569">
        <v>310.44</v>
      </c>
      <c r="T175" s="253"/>
      <c r="U175" s="535">
        <v>167</v>
      </c>
      <c r="V175" s="569">
        <v>226.03</v>
      </c>
      <c r="W175" s="569">
        <v>316.44</v>
      </c>
      <c r="X175" s="253"/>
      <c r="Y175" s="535">
        <v>167</v>
      </c>
      <c r="Z175" s="536">
        <v>230.32</v>
      </c>
      <c r="AA175" s="529">
        <v>322.45</v>
      </c>
      <c r="AB175" s="253"/>
      <c r="AC175" s="535">
        <v>167</v>
      </c>
      <c r="AD175" s="536">
        <v>234.62</v>
      </c>
      <c r="AE175" s="529">
        <v>328.46</v>
      </c>
      <c r="AF175" s="253"/>
      <c r="AG175" s="535">
        <v>167</v>
      </c>
      <c r="AH175" s="536">
        <v>238.91</v>
      </c>
      <c r="AI175" s="529">
        <v>334.47</v>
      </c>
      <c r="AJ175" s="253"/>
      <c r="AK175" s="535">
        <v>167</v>
      </c>
      <c r="AL175" s="536">
        <v>243.2</v>
      </c>
      <c r="AM175" s="529">
        <v>340.48</v>
      </c>
      <c r="AN175" s="253"/>
      <c r="AO175" s="535">
        <v>167</v>
      </c>
      <c r="AP175" s="536">
        <v>247.49</v>
      </c>
      <c r="AQ175" s="529">
        <v>346.49</v>
      </c>
      <c r="AR175" s="253"/>
      <c r="AS175" s="535">
        <v>167</v>
      </c>
      <c r="AT175" s="536">
        <v>251.78</v>
      </c>
      <c r="AU175" s="529">
        <v>352.5</v>
      </c>
      <c r="AV175" s="253"/>
      <c r="AW175" s="535">
        <v>167</v>
      </c>
      <c r="AX175" s="536">
        <v>256.07</v>
      </c>
      <c r="AY175" s="529">
        <v>358.5</v>
      </c>
      <c r="AZ175" s="253"/>
      <c r="BA175" s="535">
        <v>167</v>
      </c>
      <c r="BB175" s="536">
        <v>260.37</v>
      </c>
      <c r="BC175" s="529">
        <v>364.51</v>
      </c>
      <c r="BD175" s="253"/>
      <c r="BE175" s="535">
        <v>167</v>
      </c>
      <c r="BF175" s="536">
        <v>264.66000000000003</v>
      </c>
      <c r="BG175" s="529">
        <v>370.52</v>
      </c>
      <c r="BH175" s="253"/>
      <c r="BI175" s="535">
        <v>167</v>
      </c>
      <c r="BJ175" s="536">
        <v>268.95</v>
      </c>
      <c r="BK175" s="529">
        <v>376.53</v>
      </c>
      <c r="BL175" s="253"/>
    </row>
    <row r="176" spans="1:64" ht="23.25">
      <c r="A176" s="269">
        <v>168</v>
      </c>
      <c r="B176" s="1437">
        <f t="shared" si="4"/>
        <v>227.39</v>
      </c>
      <c r="C176" s="1438">
        <f t="shared" si="5"/>
        <v>318.35000000000002</v>
      </c>
      <c r="D176" s="279"/>
      <c r="E176" s="1420">
        <v>168</v>
      </c>
      <c r="F176" s="1421">
        <v>210.12</v>
      </c>
      <c r="G176" s="1414">
        <v>294.17</v>
      </c>
      <c r="H176" s="1404"/>
      <c r="I176" s="1420">
        <v>168</v>
      </c>
      <c r="J176" s="1421">
        <v>214.44</v>
      </c>
      <c r="K176" s="1414">
        <v>300.20999999999998</v>
      </c>
      <c r="L176" s="279"/>
      <c r="M176" s="535">
        <v>168</v>
      </c>
      <c r="N176" s="569">
        <v>218.76</v>
      </c>
      <c r="O176" s="569">
        <v>306.26</v>
      </c>
      <c r="P176" s="253"/>
      <c r="Q176" s="535">
        <v>168</v>
      </c>
      <c r="R176" s="569">
        <v>223.07</v>
      </c>
      <c r="S176" s="569">
        <v>312.3</v>
      </c>
      <c r="T176" s="253"/>
      <c r="U176" s="535">
        <v>168</v>
      </c>
      <c r="V176" s="569">
        <v>227.39</v>
      </c>
      <c r="W176" s="569">
        <v>318.35000000000002</v>
      </c>
      <c r="X176" s="253"/>
      <c r="Y176" s="535">
        <v>168</v>
      </c>
      <c r="Z176" s="536">
        <v>231.71</v>
      </c>
      <c r="AA176" s="529">
        <v>324.39</v>
      </c>
      <c r="AB176" s="253"/>
      <c r="AC176" s="535">
        <v>168</v>
      </c>
      <c r="AD176" s="536">
        <v>236.03</v>
      </c>
      <c r="AE176" s="529">
        <v>330.44</v>
      </c>
      <c r="AF176" s="253"/>
      <c r="AG176" s="535">
        <v>168</v>
      </c>
      <c r="AH176" s="536">
        <v>240.34</v>
      </c>
      <c r="AI176" s="529">
        <v>336.48</v>
      </c>
      <c r="AJ176" s="253"/>
      <c r="AK176" s="535">
        <v>168</v>
      </c>
      <c r="AL176" s="536">
        <v>244.66</v>
      </c>
      <c r="AM176" s="529">
        <v>342.53</v>
      </c>
      <c r="AN176" s="253"/>
      <c r="AO176" s="535">
        <v>168</v>
      </c>
      <c r="AP176" s="536">
        <v>248.98</v>
      </c>
      <c r="AQ176" s="529">
        <v>348.57</v>
      </c>
      <c r="AR176" s="253"/>
      <c r="AS176" s="535">
        <v>168</v>
      </c>
      <c r="AT176" s="536">
        <v>253.3</v>
      </c>
      <c r="AU176" s="529">
        <v>354.62</v>
      </c>
      <c r="AV176" s="253"/>
      <c r="AW176" s="535">
        <v>168</v>
      </c>
      <c r="AX176" s="536">
        <v>257.61</v>
      </c>
      <c r="AY176" s="529">
        <v>360.66</v>
      </c>
      <c r="AZ176" s="253"/>
      <c r="BA176" s="535">
        <v>168</v>
      </c>
      <c r="BB176" s="536">
        <v>261.93</v>
      </c>
      <c r="BC176" s="529">
        <v>366.71</v>
      </c>
      <c r="BD176" s="253"/>
      <c r="BE176" s="535">
        <v>168</v>
      </c>
      <c r="BF176" s="536">
        <v>266.25</v>
      </c>
      <c r="BG176" s="529">
        <v>372.75</v>
      </c>
      <c r="BH176" s="253"/>
      <c r="BI176" s="535">
        <v>168</v>
      </c>
      <c r="BJ176" s="536">
        <v>270.57</v>
      </c>
      <c r="BK176" s="529">
        <v>378.79</v>
      </c>
      <c r="BL176" s="253"/>
    </row>
    <row r="177" spans="1:64" ht="23.25">
      <c r="A177" s="269">
        <v>169</v>
      </c>
      <c r="B177" s="1437">
        <f t="shared" si="4"/>
        <v>228.75</v>
      </c>
      <c r="C177" s="1438">
        <f t="shared" si="5"/>
        <v>320.25</v>
      </c>
      <c r="D177" s="279"/>
      <c r="E177" s="1420">
        <v>169</v>
      </c>
      <c r="F177" s="1421">
        <v>211.38</v>
      </c>
      <c r="G177" s="1414">
        <v>295.93</v>
      </c>
      <c r="H177" s="1404"/>
      <c r="I177" s="1420">
        <v>169</v>
      </c>
      <c r="J177" s="1421">
        <v>215.72</v>
      </c>
      <c r="K177" s="1414">
        <v>302.01</v>
      </c>
      <c r="L177" s="279"/>
      <c r="M177" s="535">
        <v>169</v>
      </c>
      <c r="N177" s="569">
        <v>220.07</v>
      </c>
      <c r="O177" s="569">
        <v>308.08999999999997</v>
      </c>
      <c r="P177" s="253"/>
      <c r="Q177" s="535">
        <v>169</v>
      </c>
      <c r="R177" s="569">
        <v>224.41</v>
      </c>
      <c r="S177" s="569">
        <v>314.17</v>
      </c>
      <c r="T177" s="253"/>
      <c r="U177" s="535">
        <v>169</v>
      </c>
      <c r="V177" s="569">
        <v>228.75</v>
      </c>
      <c r="W177" s="569">
        <v>320.25</v>
      </c>
      <c r="X177" s="253"/>
      <c r="Y177" s="535">
        <v>169</v>
      </c>
      <c r="Z177" s="536">
        <v>233.1</v>
      </c>
      <c r="AA177" s="529">
        <v>326.33999999999997</v>
      </c>
      <c r="AB177" s="253"/>
      <c r="AC177" s="535">
        <v>169</v>
      </c>
      <c r="AD177" s="536">
        <v>237.44</v>
      </c>
      <c r="AE177" s="529">
        <v>332.42</v>
      </c>
      <c r="AF177" s="253"/>
      <c r="AG177" s="535">
        <v>169</v>
      </c>
      <c r="AH177" s="536">
        <v>241.78</v>
      </c>
      <c r="AI177" s="529">
        <v>338.5</v>
      </c>
      <c r="AJ177" s="253"/>
      <c r="AK177" s="535">
        <v>169</v>
      </c>
      <c r="AL177" s="536">
        <v>246.13</v>
      </c>
      <c r="AM177" s="529">
        <v>344.58</v>
      </c>
      <c r="AN177" s="253"/>
      <c r="AO177" s="535">
        <v>169</v>
      </c>
      <c r="AP177" s="536">
        <v>250.47</v>
      </c>
      <c r="AQ177" s="529">
        <v>350.66</v>
      </c>
      <c r="AR177" s="253"/>
      <c r="AS177" s="535">
        <v>169</v>
      </c>
      <c r="AT177" s="536">
        <v>254.81</v>
      </c>
      <c r="AU177" s="529">
        <v>356.74</v>
      </c>
      <c r="AV177" s="253"/>
      <c r="AW177" s="535">
        <v>169</v>
      </c>
      <c r="AX177" s="536">
        <v>259.16000000000003</v>
      </c>
      <c r="AY177" s="529">
        <v>362.82</v>
      </c>
      <c r="AZ177" s="253"/>
      <c r="BA177" s="535">
        <v>169</v>
      </c>
      <c r="BB177" s="536">
        <v>263.5</v>
      </c>
      <c r="BC177" s="529">
        <v>368.9</v>
      </c>
      <c r="BD177" s="253"/>
      <c r="BE177" s="535">
        <v>169</v>
      </c>
      <c r="BF177" s="536">
        <v>267.83999999999997</v>
      </c>
      <c r="BG177" s="529">
        <v>374.98</v>
      </c>
      <c r="BH177" s="253"/>
      <c r="BI177" s="535">
        <v>169</v>
      </c>
      <c r="BJ177" s="536">
        <v>272.19</v>
      </c>
      <c r="BK177" s="529">
        <v>381.06</v>
      </c>
      <c r="BL177" s="253"/>
    </row>
    <row r="178" spans="1:64" ht="23.25">
      <c r="A178" s="269">
        <v>170</v>
      </c>
      <c r="B178" s="1437">
        <f t="shared" si="4"/>
        <v>230.12</v>
      </c>
      <c r="C178" s="1438">
        <f t="shared" si="5"/>
        <v>322.16000000000003</v>
      </c>
      <c r="D178" s="279"/>
      <c r="E178" s="1420">
        <v>170</v>
      </c>
      <c r="F178" s="1421">
        <v>212.64</v>
      </c>
      <c r="G178" s="1414">
        <v>297.7</v>
      </c>
      <c r="H178" s="1404"/>
      <c r="I178" s="1420">
        <v>170</v>
      </c>
      <c r="J178" s="1421">
        <v>217.01</v>
      </c>
      <c r="K178" s="1414">
        <v>303.81</v>
      </c>
      <c r="L178" s="279"/>
      <c r="M178" s="535">
        <v>170</v>
      </c>
      <c r="N178" s="569">
        <v>221.38</v>
      </c>
      <c r="O178" s="569">
        <v>309.93</v>
      </c>
      <c r="P178" s="253"/>
      <c r="Q178" s="535">
        <v>170</v>
      </c>
      <c r="R178" s="569">
        <v>225.75</v>
      </c>
      <c r="S178" s="569">
        <v>316.05</v>
      </c>
      <c r="T178" s="253"/>
      <c r="U178" s="535">
        <v>170</v>
      </c>
      <c r="V178" s="569">
        <v>230.12</v>
      </c>
      <c r="W178" s="569">
        <v>322.16000000000003</v>
      </c>
      <c r="X178" s="253"/>
      <c r="Y178" s="535">
        <v>170</v>
      </c>
      <c r="Z178" s="536">
        <v>234.49</v>
      </c>
      <c r="AA178" s="529">
        <v>328.28</v>
      </c>
      <c r="AB178" s="253"/>
      <c r="AC178" s="535">
        <v>170</v>
      </c>
      <c r="AD178" s="536">
        <v>238.85</v>
      </c>
      <c r="AE178" s="529">
        <v>334.4</v>
      </c>
      <c r="AF178" s="253"/>
      <c r="AG178" s="535">
        <v>170</v>
      </c>
      <c r="AH178" s="536">
        <v>243.22</v>
      </c>
      <c r="AI178" s="529">
        <v>340.51</v>
      </c>
      <c r="AJ178" s="253"/>
      <c r="AK178" s="535">
        <v>170</v>
      </c>
      <c r="AL178" s="536">
        <v>247.59</v>
      </c>
      <c r="AM178" s="529">
        <v>346.63</v>
      </c>
      <c r="AN178" s="253"/>
      <c r="AO178" s="535">
        <v>170</v>
      </c>
      <c r="AP178" s="536">
        <v>251.96</v>
      </c>
      <c r="AQ178" s="529">
        <v>352.75</v>
      </c>
      <c r="AR178" s="253"/>
      <c r="AS178" s="535">
        <v>170</v>
      </c>
      <c r="AT178" s="536">
        <v>256.33</v>
      </c>
      <c r="AU178" s="529">
        <v>358.86</v>
      </c>
      <c r="AV178" s="253"/>
      <c r="AW178" s="535">
        <v>170</v>
      </c>
      <c r="AX178" s="536">
        <v>260.7</v>
      </c>
      <c r="AY178" s="529">
        <v>364.98</v>
      </c>
      <c r="AZ178" s="253"/>
      <c r="BA178" s="535">
        <v>170</v>
      </c>
      <c r="BB178" s="536">
        <v>265.07</v>
      </c>
      <c r="BC178" s="529">
        <v>371.1</v>
      </c>
      <c r="BD178" s="253"/>
      <c r="BE178" s="535">
        <v>170</v>
      </c>
      <c r="BF178" s="536">
        <v>269.44</v>
      </c>
      <c r="BG178" s="529">
        <v>377.21</v>
      </c>
      <c r="BH178" s="253"/>
      <c r="BI178" s="535">
        <v>170</v>
      </c>
      <c r="BJ178" s="536">
        <v>273.81</v>
      </c>
      <c r="BK178" s="529">
        <v>383.33</v>
      </c>
      <c r="BL178" s="253"/>
    </row>
    <row r="179" spans="1:64" ht="23.25">
      <c r="A179" s="269">
        <v>171</v>
      </c>
      <c r="B179" s="1437">
        <f t="shared" si="4"/>
        <v>231.48</v>
      </c>
      <c r="C179" s="1438">
        <f t="shared" si="5"/>
        <v>324.07</v>
      </c>
      <c r="D179" s="279"/>
      <c r="E179" s="1420">
        <v>171</v>
      </c>
      <c r="F179" s="1421">
        <v>213.9</v>
      </c>
      <c r="G179" s="1414">
        <v>299.45999999999998</v>
      </c>
      <c r="H179" s="1404"/>
      <c r="I179" s="1420">
        <v>171</v>
      </c>
      <c r="J179" s="1421">
        <v>218.3</v>
      </c>
      <c r="K179" s="1414">
        <v>305.62</v>
      </c>
      <c r="L179" s="279"/>
      <c r="M179" s="535">
        <v>171</v>
      </c>
      <c r="N179" s="569">
        <v>222.69</v>
      </c>
      <c r="O179" s="569">
        <v>311.77</v>
      </c>
      <c r="P179" s="253"/>
      <c r="Q179" s="535">
        <v>171</v>
      </c>
      <c r="R179" s="569">
        <v>227.09</v>
      </c>
      <c r="S179" s="569">
        <v>317.92</v>
      </c>
      <c r="T179" s="253"/>
      <c r="U179" s="535">
        <v>171</v>
      </c>
      <c r="V179" s="569">
        <v>231.48</v>
      </c>
      <c r="W179" s="569">
        <v>324.07</v>
      </c>
      <c r="X179" s="253"/>
      <c r="Y179" s="535">
        <v>171</v>
      </c>
      <c r="Z179" s="536">
        <v>235.88</v>
      </c>
      <c r="AA179" s="529">
        <v>330.23</v>
      </c>
      <c r="AB179" s="253"/>
      <c r="AC179" s="535">
        <v>171</v>
      </c>
      <c r="AD179" s="536">
        <v>240.27</v>
      </c>
      <c r="AE179" s="529">
        <v>336.38</v>
      </c>
      <c r="AF179" s="253"/>
      <c r="AG179" s="535">
        <v>171</v>
      </c>
      <c r="AH179" s="536">
        <v>244.67</v>
      </c>
      <c r="AI179" s="529">
        <v>342.53</v>
      </c>
      <c r="AJ179" s="253"/>
      <c r="AK179" s="535">
        <v>171</v>
      </c>
      <c r="AL179" s="536">
        <v>249.06</v>
      </c>
      <c r="AM179" s="529">
        <v>348.68</v>
      </c>
      <c r="AN179" s="253"/>
      <c r="AO179" s="535">
        <v>171</v>
      </c>
      <c r="AP179" s="536">
        <v>253.46</v>
      </c>
      <c r="AQ179" s="529">
        <v>354.84</v>
      </c>
      <c r="AR179" s="253"/>
      <c r="AS179" s="535">
        <v>171</v>
      </c>
      <c r="AT179" s="536">
        <v>257.85000000000002</v>
      </c>
      <c r="AU179" s="529">
        <v>360.99</v>
      </c>
      <c r="AV179" s="253"/>
      <c r="AW179" s="535">
        <v>171</v>
      </c>
      <c r="AX179" s="536">
        <v>262.24</v>
      </c>
      <c r="AY179" s="529">
        <v>367.14</v>
      </c>
      <c r="AZ179" s="253"/>
      <c r="BA179" s="535">
        <v>171</v>
      </c>
      <c r="BB179" s="536">
        <v>266.64</v>
      </c>
      <c r="BC179" s="529">
        <v>373.29</v>
      </c>
      <c r="BD179" s="253"/>
      <c r="BE179" s="535">
        <v>171</v>
      </c>
      <c r="BF179" s="536">
        <v>271.02999999999997</v>
      </c>
      <c r="BG179" s="529">
        <v>379.45</v>
      </c>
      <c r="BH179" s="253"/>
      <c r="BI179" s="535">
        <v>171</v>
      </c>
      <c r="BJ179" s="536">
        <v>275.43</v>
      </c>
      <c r="BK179" s="529">
        <v>385.6</v>
      </c>
      <c r="BL179" s="253"/>
    </row>
    <row r="180" spans="1:64" ht="23.25">
      <c r="A180" s="269">
        <v>172</v>
      </c>
      <c r="B180" s="1437">
        <f t="shared" si="4"/>
        <v>232.85</v>
      </c>
      <c r="C180" s="1438">
        <f t="shared" si="5"/>
        <v>325.99</v>
      </c>
      <c r="D180" s="279"/>
      <c r="E180" s="1420">
        <v>172</v>
      </c>
      <c r="F180" s="1421">
        <v>215.17</v>
      </c>
      <c r="G180" s="1414">
        <v>301.23</v>
      </c>
      <c r="H180" s="1404"/>
      <c r="I180" s="1420">
        <v>172</v>
      </c>
      <c r="J180" s="1421">
        <v>219.59</v>
      </c>
      <c r="K180" s="1414">
        <v>307.42</v>
      </c>
      <c r="L180" s="279"/>
      <c r="M180" s="535">
        <v>172</v>
      </c>
      <c r="N180" s="569">
        <v>224.01</v>
      </c>
      <c r="O180" s="569">
        <v>313.61</v>
      </c>
      <c r="P180" s="253"/>
      <c r="Q180" s="535">
        <v>172</v>
      </c>
      <c r="R180" s="569">
        <v>228.43</v>
      </c>
      <c r="S180" s="569">
        <v>319.8</v>
      </c>
      <c r="T180" s="253"/>
      <c r="U180" s="535">
        <v>172</v>
      </c>
      <c r="V180" s="569">
        <v>232.85</v>
      </c>
      <c r="W180" s="569">
        <v>325.99</v>
      </c>
      <c r="X180" s="253"/>
      <c r="Y180" s="535">
        <v>172</v>
      </c>
      <c r="Z180" s="536">
        <v>237.27</v>
      </c>
      <c r="AA180" s="529">
        <v>332.18</v>
      </c>
      <c r="AB180" s="253"/>
      <c r="AC180" s="535">
        <v>172</v>
      </c>
      <c r="AD180" s="536">
        <v>241.69</v>
      </c>
      <c r="AE180" s="529">
        <v>338.36</v>
      </c>
      <c r="AF180" s="253"/>
      <c r="AG180" s="535">
        <v>172</v>
      </c>
      <c r="AH180" s="536">
        <v>246.11</v>
      </c>
      <c r="AI180" s="529">
        <v>344.55</v>
      </c>
      <c r="AJ180" s="253"/>
      <c r="AK180" s="535">
        <v>172</v>
      </c>
      <c r="AL180" s="536">
        <v>250.53</v>
      </c>
      <c r="AM180" s="529">
        <v>350.74</v>
      </c>
      <c r="AN180" s="253"/>
      <c r="AO180" s="535">
        <v>172</v>
      </c>
      <c r="AP180" s="536">
        <v>254.95</v>
      </c>
      <c r="AQ180" s="529">
        <v>356.93</v>
      </c>
      <c r="AR180" s="253"/>
      <c r="AS180" s="535">
        <v>172</v>
      </c>
      <c r="AT180" s="536">
        <v>259.37</v>
      </c>
      <c r="AU180" s="529">
        <v>363.12</v>
      </c>
      <c r="AV180" s="253"/>
      <c r="AW180" s="535">
        <v>172</v>
      </c>
      <c r="AX180" s="536">
        <v>263.79000000000002</v>
      </c>
      <c r="AY180" s="529">
        <v>369.31</v>
      </c>
      <c r="AZ180" s="253"/>
      <c r="BA180" s="535">
        <v>172</v>
      </c>
      <c r="BB180" s="536">
        <v>268.20999999999998</v>
      </c>
      <c r="BC180" s="529">
        <v>375.5</v>
      </c>
      <c r="BD180" s="253"/>
      <c r="BE180" s="535">
        <v>172</v>
      </c>
      <c r="BF180" s="536">
        <v>272.63</v>
      </c>
      <c r="BG180" s="529">
        <v>381.68</v>
      </c>
      <c r="BH180" s="253"/>
      <c r="BI180" s="535">
        <v>172</v>
      </c>
      <c r="BJ180" s="536">
        <v>277.05</v>
      </c>
      <c r="BK180" s="529">
        <v>387.87</v>
      </c>
      <c r="BL180" s="253"/>
    </row>
    <row r="181" spans="1:64" ht="23.25">
      <c r="A181" s="269">
        <v>173</v>
      </c>
      <c r="B181" s="1437">
        <f t="shared" si="4"/>
        <v>234.08</v>
      </c>
      <c r="C181" s="1438">
        <f t="shared" si="5"/>
        <v>327.72</v>
      </c>
      <c r="D181" s="279"/>
      <c r="E181" s="1420">
        <v>173</v>
      </c>
      <c r="F181" s="1421">
        <v>216.3</v>
      </c>
      <c r="G181" s="1414">
        <v>302.82</v>
      </c>
      <c r="H181" s="1404"/>
      <c r="I181" s="1420">
        <v>173</v>
      </c>
      <c r="J181" s="1421">
        <v>220.75</v>
      </c>
      <c r="K181" s="1414">
        <v>309.04000000000002</v>
      </c>
      <c r="L181" s="279"/>
      <c r="M181" s="535">
        <v>173</v>
      </c>
      <c r="N181" s="569">
        <v>225.19</v>
      </c>
      <c r="O181" s="569">
        <v>315.27</v>
      </c>
      <c r="P181" s="253"/>
      <c r="Q181" s="535">
        <v>173</v>
      </c>
      <c r="R181" s="569">
        <v>229.64</v>
      </c>
      <c r="S181" s="569">
        <v>321.49</v>
      </c>
      <c r="T181" s="253"/>
      <c r="U181" s="535">
        <v>173</v>
      </c>
      <c r="V181" s="569">
        <v>234.08</v>
      </c>
      <c r="W181" s="569">
        <v>327.72</v>
      </c>
      <c r="X181" s="253"/>
      <c r="Y181" s="535">
        <v>173</v>
      </c>
      <c r="Z181" s="536">
        <v>238.53</v>
      </c>
      <c r="AA181" s="529">
        <v>333.94</v>
      </c>
      <c r="AB181" s="253"/>
      <c r="AC181" s="535">
        <v>173</v>
      </c>
      <c r="AD181" s="536">
        <v>242.98</v>
      </c>
      <c r="AE181" s="529">
        <v>340.17</v>
      </c>
      <c r="AF181" s="253"/>
      <c r="AG181" s="535">
        <v>173</v>
      </c>
      <c r="AH181" s="536">
        <v>247.42</v>
      </c>
      <c r="AI181" s="529">
        <v>346.39</v>
      </c>
      <c r="AJ181" s="253"/>
      <c r="AK181" s="535">
        <v>173</v>
      </c>
      <c r="AL181" s="536">
        <v>251.87</v>
      </c>
      <c r="AM181" s="529">
        <v>352.62</v>
      </c>
      <c r="AN181" s="253"/>
      <c r="AO181" s="535">
        <v>173</v>
      </c>
      <c r="AP181" s="536">
        <v>256.31</v>
      </c>
      <c r="AQ181" s="529">
        <v>358.84</v>
      </c>
      <c r="AR181" s="253"/>
      <c r="AS181" s="535">
        <v>173</v>
      </c>
      <c r="AT181" s="536">
        <v>260.76</v>
      </c>
      <c r="AU181" s="529">
        <v>365.07</v>
      </c>
      <c r="AV181" s="253"/>
      <c r="AW181" s="535">
        <v>173</v>
      </c>
      <c r="AX181" s="536">
        <v>265.20999999999998</v>
      </c>
      <c r="AY181" s="529">
        <v>371.29</v>
      </c>
      <c r="AZ181" s="253"/>
      <c r="BA181" s="535">
        <v>173</v>
      </c>
      <c r="BB181" s="536">
        <v>269.64999999999998</v>
      </c>
      <c r="BC181" s="529">
        <v>377.51</v>
      </c>
      <c r="BD181" s="253"/>
      <c r="BE181" s="535">
        <v>173</v>
      </c>
      <c r="BF181" s="536">
        <v>274.10000000000002</v>
      </c>
      <c r="BG181" s="529">
        <v>383.74</v>
      </c>
      <c r="BH181" s="253"/>
      <c r="BI181" s="535">
        <v>173</v>
      </c>
      <c r="BJ181" s="536">
        <v>278.55</v>
      </c>
      <c r="BK181" s="529">
        <v>389.96</v>
      </c>
      <c r="BL181" s="253"/>
    </row>
    <row r="182" spans="1:64" ht="23.25">
      <c r="A182" s="270">
        <v>174</v>
      </c>
      <c r="B182" s="1437">
        <f t="shared" si="4"/>
        <v>235.45</v>
      </c>
      <c r="C182" s="1438">
        <f t="shared" si="5"/>
        <v>329.63</v>
      </c>
      <c r="D182" s="279"/>
      <c r="E182" s="1415">
        <v>174</v>
      </c>
      <c r="F182" s="1423">
        <v>217.57</v>
      </c>
      <c r="G182" s="1417">
        <v>304.58999999999997</v>
      </c>
      <c r="H182" s="1404"/>
      <c r="I182" s="1415">
        <v>174</v>
      </c>
      <c r="J182" s="1423">
        <v>222.04</v>
      </c>
      <c r="K182" s="1417">
        <v>310.85000000000002</v>
      </c>
      <c r="L182" s="279"/>
      <c r="M182" s="530">
        <v>174</v>
      </c>
      <c r="N182" s="571">
        <v>226.51</v>
      </c>
      <c r="O182" s="571">
        <v>317.11</v>
      </c>
      <c r="P182" s="253"/>
      <c r="Q182" s="530">
        <v>174</v>
      </c>
      <c r="R182" s="571">
        <v>230.98</v>
      </c>
      <c r="S182" s="571">
        <v>323.37</v>
      </c>
      <c r="T182" s="253"/>
      <c r="U182" s="530">
        <v>174</v>
      </c>
      <c r="V182" s="571">
        <v>235.45</v>
      </c>
      <c r="W182" s="571">
        <v>329.63</v>
      </c>
      <c r="X182" s="253"/>
      <c r="Y182" s="530">
        <v>174</v>
      </c>
      <c r="Z182" s="538">
        <v>239.92</v>
      </c>
      <c r="AA182" s="532">
        <v>335.89</v>
      </c>
      <c r="AB182" s="253"/>
      <c r="AC182" s="530">
        <v>174</v>
      </c>
      <c r="AD182" s="538">
        <v>224.4</v>
      </c>
      <c r="AE182" s="532">
        <v>342.15</v>
      </c>
      <c r="AF182" s="253"/>
      <c r="AG182" s="530">
        <v>174</v>
      </c>
      <c r="AH182" s="538">
        <v>248.87</v>
      </c>
      <c r="AI182" s="532">
        <v>348.42</v>
      </c>
      <c r="AJ182" s="253"/>
      <c r="AK182" s="530">
        <v>174</v>
      </c>
      <c r="AL182" s="538">
        <v>253.34</v>
      </c>
      <c r="AM182" s="532">
        <v>354.68</v>
      </c>
      <c r="AN182" s="253"/>
      <c r="AO182" s="530">
        <v>174</v>
      </c>
      <c r="AP182" s="538">
        <v>257.81</v>
      </c>
      <c r="AQ182" s="532">
        <v>360.94</v>
      </c>
      <c r="AR182" s="253"/>
      <c r="AS182" s="530">
        <v>174</v>
      </c>
      <c r="AT182" s="538">
        <v>262.27999999999997</v>
      </c>
      <c r="AU182" s="532">
        <v>367.2</v>
      </c>
      <c r="AV182" s="253"/>
      <c r="AW182" s="530">
        <v>174</v>
      </c>
      <c r="AX182" s="538">
        <v>266.76</v>
      </c>
      <c r="AY182" s="532">
        <v>373.46</v>
      </c>
      <c r="AZ182" s="253"/>
      <c r="BA182" s="530">
        <v>174</v>
      </c>
      <c r="BB182" s="538">
        <v>271.23</v>
      </c>
      <c r="BC182" s="532">
        <v>379.72</v>
      </c>
      <c r="BD182" s="253"/>
      <c r="BE182" s="530">
        <v>174</v>
      </c>
      <c r="BF182" s="538">
        <v>275.7</v>
      </c>
      <c r="BG182" s="532">
        <v>385.98</v>
      </c>
      <c r="BH182" s="253"/>
      <c r="BI182" s="530">
        <v>174</v>
      </c>
      <c r="BJ182" s="538">
        <v>280.17</v>
      </c>
      <c r="BK182" s="532">
        <v>392.24</v>
      </c>
      <c r="BL182" s="253"/>
    </row>
    <row r="183" spans="1:64" ht="23.25">
      <c r="A183" s="267">
        <v>175</v>
      </c>
      <c r="B183" s="1437">
        <f t="shared" si="4"/>
        <v>236.82</v>
      </c>
      <c r="C183" s="1438">
        <f t="shared" si="5"/>
        <v>331.55</v>
      </c>
      <c r="D183" s="279"/>
      <c r="E183" s="1418">
        <v>175</v>
      </c>
      <c r="F183" s="1414">
        <v>218.83</v>
      </c>
      <c r="G183" s="1412">
        <v>306.37</v>
      </c>
      <c r="H183" s="1404"/>
      <c r="I183" s="1418">
        <v>175</v>
      </c>
      <c r="J183" s="1414">
        <v>223.33</v>
      </c>
      <c r="K183" s="1412">
        <v>312.66000000000003</v>
      </c>
      <c r="L183" s="279"/>
      <c r="M183" s="533">
        <v>175</v>
      </c>
      <c r="N183" s="569">
        <v>227.83</v>
      </c>
      <c r="O183" s="570">
        <v>318.95999999999998</v>
      </c>
      <c r="P183" s="253"/>
      <c r="Q183" s="533">
        <v>175</v>
      </c>
      <c r="R183" s="569">
        <v>232.33</v>
      </c>
      <c r="S183" s="570">
        <v>325.26</v>
      </c>
      <c r="T183" s="253"/>
      <c r="U183" s="533">
        <v>175</v>
      </c>
      <c r="V183" s="569">
        <v>236.82</v>
      </c>
      <c r="W183" s="570">
        <v>331.55</v>
      </c>
      <c r="X183" s="253"/>
      <c r="Y183" s="533">
        <v>175</v>
      </c>
      <c r="Z183" s="529">
        <v>241.32</v>
      </c>
      <c r="AA183" s="527">
        <v>337.85</v>
      </c>
      <c r="AB183" s="253"/>
      <c r="AC183" s="533">
        <v>175</v>
      </c>
      <c r="AD183" s="529">
        <v>245.82</v>
      </c>
      <c r="AE183" s="527">
        <v>344.15</v>
      </c>
      <c r="AF183" s="253"/>
      <c r="AG183" s="533">
        <v>175</v>
      </c>
      <c r="AH183" s="529">
        <v>250.32</v>
      </c>
      <c r="AI183" s="527">
        <v>350.44</v>
      </c>
      <c r="AJ183" s="253"/>
      <c r="AK183" s="533">
        <v>175</v>
      </c>
      <c r="AL183" s="529">
        <v>254.81</v>
      </c>
      <c r="AM183" s="527">
        <v>356.74</v>
      </c>
      <c r="AN183" s="253"/>
      <c r="AO183" s="533">
        <v>175</v>
      </c>
      <c r="AP183" s="529">
        <v>259.31</v>
      </c>
      <c r="AQ183" s="527">
        <v>363.03</v>
      </c>
      <c r="AR183" s="253"/>
      <c r="AS183" s="533">
        <v>175</v>
      </c>
      <c r="AT183" s="529">
        <v>263.81</v>
      </c>
      <c r="AU183" s="527">
        <v>369.33</v>
      </c>
      <c r="AV183" s="253"/>
      <c r="AW183" s="533">
        <v>175</v>
      </c>
      <c r="AX183" s="529">
        <v>268.31</v>
      </c>
      <c r="AY183" s="527">
        <v>375.63</v>
      </c>
      <c r="AZ183" s="253"/>
      <c r="BA183" s="533">
        <v>175</v>
      </c>
      <c r="BB183" s="529">
        <v>272.8</v>
      </c>
      <c r="BC183" s="527">
        <v>381.92</v>
      </c>
      <c r="BD183" s="253"/>
      <c r="BE183" s="533">
        <v>175</v>
      </c>
      <c r="BF183" s="529">
        <v>277.3</v>
      </c>
      <c r="BG183" s="527">
        <v>388.22</v>
      </c>
      <c r="BH183" s="253"/>
      <c r="BI183" s="533">
        <v>175</v>
      </c>
      <c r="BJ183" s="529">
        <v>281.8</v>
      </c>
      <c r="BK183" s="527">
        <v>394.52</v>
      </c>
      <c r="BL183" s="253"/>
    </row>
    <row r="184" spans="1:64" ht="23.25">
      <c r="A184" s="269">
        <v>176</v>
      </c>
      <c r="B184" s="1437">
        <f t="shared" si="4"/>
        <v>238.19</v>
      </c>
      <c r="C184" s="1438">
        <f t="shared" si="5"/>
        <v>333.47</v>
      </c>
      <c r="D184" s="279"/>
      <c r="E184" s="1420">
        <v>176</v>
      </c>
      <c r="F184" s="1421">
        <v>220.1</v>
      </c>
      <c r="G184" s="1414">
        <v>308.14</v>
      </c>
      <c r="H184" s="1404"/>
      <c r="I184" s="1420">
        <v>176</v>
      </c>
      <c r="J184" s="1421">
        <v>224.63</v>
      </c>
      <c r="K184" s="1414">
        <v>314.48</v>
      </c>
      <c r="L184" s="279"/>
      <c r="M184" s="535">
        <v>176</v>
      </c>
      <c r="N184" s="569">
        <v>229.15</v>
      </c>
      <c r="O184" s="569">
        <v>320.81</v>
      </c>
      <c r="P184" s="253"/>
      <c r="Q184" s="535">
        <v>176</v>
      </c>
      <c r="R184" s="569">
        <v>233.67</v>
      </c>
      <c r="S184" s="569">
        <v>327.14</v>
      </c>
      <c r="T184" s="253"/>
      <c r="U184" s="535">
        <v>176</v>
      </c>
      <c r="V184" s="569">
        <v>238.19</v>
      </c>
      <c r="W184" s="569">
        <v>333.47</v>
      </c>
      <c r="X184" s="253"/>
      <c r="Y184" s="535">
        <v>176</v>
      </c>
      <c r="Z184" s="536">
        <v>242.72</v>
      </c>
      <c r="AA184" s="529">
        <v>339.81</v>
      </c>
      <c r="AB184" s="253"/>
      <c r="AC184" s="535">
        <v>176</v>
      </c>
      <c r="AD184" s="536">
        <v>247.24</v>
      </c>
      <c r="AE184" s="529">
        <v>346.14</v>
      </c>
      <c r="AF184" s="253"/>
      <c r="AG184" s="535">
        <v>176</v>
      </c>
      <c r="AH184" s="536">
        <v>251.76</v>
      </c>
      <c r="AI184" s="529">
        <v>352.47</v>
      </c>
      <c r="AJ184" s="253"/>
      <c r="AK184" s="535">
        <v>176</v>
      </c>
      <c r="AL184" s="536">
        <v>256.29000000000002</v>
      </c>
      <c r="AM184" s="529">
        <v>358.8</v>
      </c>
      <c r="AN184" s="253"/>
      <c r="AO184" s="535">
        <v>176</v>
      </c>
      <c r="AP184" s="536">
        <v>260.81</v>
      </c>
      <c r="AQ184" s="529">
        <v>365.14</v>
      </c>
      <c r="AR184" s="253"/>
      <c r="AS184" s="535">
        <v>176</v>
      </c>
      <c r="AT184" s="536">
        <v>265.33</v>
      </c>
      <c r="AU184" s="529">
        <v>371.47</v>
      </c>
      <c r="AV184" s="253"/>
      <c r="AW184" s="535">
        <v>176</v>
      </c>
      <c r="AX184" s="536">
        <v>269.86</v>
      </c>
      <c r="AY184" s="529">
        <v>377.8</v>
      </c>
      <c r="AZ184" s="253"/>
      <c r="BA184" s="535">
        <v>176</v>
      </c>
      <c r="BB184" s="536">
        <v>274.38</v>
      </c>
      <c r="BC184" s="529">
        <v>384.13</v>
      </c>
      <c r="BD184" s="253"/>
      <c r="BE184" s="535">
        <v>176</v>
      </c>
      <c r="BF184" s="536">
        <v>278.89999999999998</v>
      </c>
      <c r="BG184" s="529">
        <v>390.46</v>
      </c>
      <c r="BH184" s="253"/>
      <c r="BI184" s="535">
        <v>176</v>
      </c>
      <c r="BJ184" s="536">
        <v>283.43</v>
      </c>
      <c r="BK184" s="529">
        <v>396.8</v>
      </c>
      <c r="BL184" s="253"/>
    </row>
    <row r="185" spans="1:64" ht="23.25">
      <c r="A185" s="269">
        <v>177</v>
      </c>
      <c r="B185" s="1437">
        <f t="shared" si="4"/>
        <v>239.57</v>
      </c>
      <c r="C185" s="1438">
        <f t="shared" si="5"/>
        <v>335.4</v>
      </c>
      <c r="D185" s="279"/>
      <c r="E185" s="1420">
        <v>177</v>
      </c>
      <c r="F185" s="1421">
        <v>221.37</v>
      </c>
      <c r="G185" s="1414">
        <v>309.92</v>
      </c>
      <c r="H185" s="1404"/>
      <c r="I185" s="1420">
        <v>177</v>
      </c>
      <c r="J185" s="1421">
        <v>225.92</v>
      </c>
      <c r="K185" s="1414">
        <v>316.29000000000002</v>
      </c>
      <c r="L185" s="279"/>
      <c r="M185" s="535">
        <v>177</v>
      </c>
      <c r="N185" s="569">
        <v>230.47</v>
      </c>
      <c r="O185" s="569">
        <v>322.66000000000003</v>
      </c>
      <c r="P185" s="253"/>
      <c r="Q185" s="535">
        <v>177</v>
      </c>
      <c r="R185" s="569">
        <v>235.02</v>
      </c>
      <c r="S185" s="569">
        <v>329.03</v>
      </c>
      <c r="T185" s="253"/>
      <c r="U185" s="535">
        <v>177</v>
      </c>
      <c r="V185" s="569">
        <v>239.57</v>
      </c>
      <c r="W185" s="569">
        <v>335.4</v>
      </c>
      <c r="X185" s="253"/>
      <c r="Y185" s="535">
        <v>177</v>
      </c>
      <c r="Z185" s="536">
        <v>244.12</v>
      </c>
      <c r="AA185" s="529">
        <v>341.76</v>
      </c>
      <c r="AB185" s="253"/>
      <c r="AC185" s="535">
        <v>177</v>
      </c>
      <c r="AD185" s="536">
        <v>248.67</v>
      </c>
      <c r="AE185" s="529">
        <v>348.13</v>
      </c>
      <c r="AF185" s="253"/>
      <c r="AG185" s="535">
        <v>177</v>
      </c>
      <c r="AH185" s="536">
        <v>253.22</v>
      </c>
      <c r="AI185" s="529">
        <v>354.5</v>
      </c>
      <c r="AJ185" s="253"/>
      <c r="AK185" s="535">
        <v>177</v>
      </c>
      <c r="AL185" s="536">
        <v>257.76</v>
      </c>
      <c r="AM185" s="529">
        <v>260.87</v>
      </c>
      <c r="AN185" s="253"/>
      <c r="AO185" s="535">
        <v>177</v>
      </c>
      <c r="AP185" s="536">
        <v>262.31</v>
      </c>
      <c r="AQ185" s="529">
        <v>367.24</v>
      </c>
      <c r="AR185" s="253"/>
      <c r="AS185" s="535">
        <v>177</v>
      </c>
      <c r="AT185" s="536">
        <v>266.86</v>
      </c>
      <c r="AU185" s="529">
        <v>373.61</v>
      </c>
      <c r="AV185" s="253"/>
      <c r="AW185" s="535">
        <v>177</v>
      </c>
      <c r="AX185" s="536">
        <v>271.41000000000003</v>
      </c>
      <c r="AY185" s="529">
        <v>379.98</v>
      </c>
      <c r="AZ185" s="253"/>
      <c r="BA185" s="535">
        <v>177</v>
      </c>
      <c r="BB185" s="536">
        <v>275.95999999999998</v>
      </c>
      <c r="BC185" s="529">
        <v>386.34</v>
      </c>
      <c r="BD185" s="253"/>
      <c r="BE185" s="535">
        <v>177</v>
      </c>
      <c r="BF185" s="536">
        <v>280.51</v>
      </c>
      <c r="BG185" s="529">
        <v>392.71</v>
      </c>
      <c r="BH185" s="253"/>
      <c r="BI185" s="535">
        <v>177</v>
      </c>
      <c r="BJ185" s="536">
        <v>285.06</v>
      </c>
      <c r="BK185" s="529">
        <v>399.08</v>
      </c>
      <c r="BL185" s="253"/>
    </row>
    <row r="186" spans="1:64" ht="23.25">
      <c r="A186" s="269">
        <v>178</v>
      </c>
      <c r="B186" s="1437">
        <f t="shared" si="4"/>
        <v>240.94</v>
      </c>
      <c r="C186" s="1438">
        <f t="shared" si="5"/>
        <v>337.32</v>
      </c>
      <c r="D186" s="279"/>
      <c r="E186" s="1420">
        <v>178</v>
      </c>
      <c r="F186" s="1421">
        <v>222.65</v>
      </c>
      <c r="G186" s="1414">
        <v>311.7</v>
      </c>
      <c r="H186" s="1404"/>
      <c r="I186" s="1420">
        <v>178</v>
      </c>
      <c r="J186" s="1421">
        <v>227.22</v>
      </c>
      <c r="K186" s="1414">
        <v>318.11</v>
      </c>
      <c r="L186" s="279"/>
      <c r="M186" s="535">
        <v>178</v>
      </c>
      <c r="N186" s="569">
        <v>231.79</v>
      </c>
      <c r="O186" s="569">
        <v>324.51</v>
      </c>
      <c r="P186" s="253"/>
      <c r="Q186" s="535">
        <v>178</v>
      </c>
      <c r="R186" s="569">
        <v>236.37</v>
      </c>
      <c r="S186" s="569">
        <v>330.92</v>
      </c>
      <c r="T186" s="253"/>
      <c r="U186" s="535">
        <v>178</v>
      </c>
      <c r="V186" s="569">
        <v>240.94</v>
      </c>
      <c r="W186" s="569">
        <v>337.32</v>
      </c>
      <c r="X186" s="253"/>
      <c r="Y186" s="535">
        <v>178</v>
      </c>
      <c r="Z186" s="536">
        <v>245.52</v>
      </c>
      <c r="AA186" s="529">
        <v>343.73</v>
      </c>
      <c r="AB186" s="253"/>
      <c r="AC186" s="535">
        <v>178</v>
      </c>
      <c r="AD186" s="536">
        <v>250.09</v>
      </c>
      <c r="AE186" s="529">
        <v>350.13</v>
      </c>
      <c r="AF186" s="253"/>
      <c r="AG186" s="535">
        <v>178</v>
      </c>
      <c r="AH186" s="536">
        <v>254.67</v>
      </c>
      <c r="AI186" s="529">
        <v>356.53</v>
      </c>
      <c r="AJ186" s="253"/>
      <c r="AK186" s="535">
        <v>178</v>
      </c>
      <c r="AL186" s="536">
        <v>259.24</v>
      </c>
      <c r="AM186" s="529">
        <v>362.94</v>
      </c>
      <c r="AN186" s="253"/>
      <c r="AO186" s="535">
        <v>178</v>
      </c>
      <c r="AP186" s="536">
        <v>263.82</v>
      </c>
      <c r="AQ186" s="529">
        <v>369.34</v>
      </c>
      <c r="AR186" s="253"/>
      <c r="AS186" s="535">
        <v>178</v>
      </c>
      <c r="AT186" s="536">
        <v>268.39</v>
      </c>
      <c r="AU186" s="529">
        <v>375.75</v>
      </c>
      <c r="AV186" s="253"/>
      <c r="AW186" s="535">
        <v>178</v>
      </c>
      <c r="AX186" s="536">
        <v>272.97000000000003</v>
      </c>
      <c r="AY186" s="529">
        <v>382.15</v>
      </c>
      <c r="AZ186" s="253"/>
      <c r="BA186" s="535">
        <v>178</v>
      </c>
      <c r="BB186" s="536">
        <v>277.54000000000002</v>
      </c>
      <c r="BC186" s="529">
        <v>388.56</v>
      </c>
      <c r="BD186" s="253"/>
      <c r="BE186" s="535">
        <v>178</v>
      </c>
      <c r="BF186" s="536">
        <v>282.12</v>
      </c>
      <c r="BG186" s="529">
        <v>394.96</v>
      </c>
      <c r="BH186" s="253"/>
      <c r="BI186" s="535">
        <v>178</v>
      </c>
      <c r="BJ186" s="536">
        <v>286.69</v>
      </c>
      <c r="BK186" s="529">
        <v>401.37</v>
      </c>
      <c r="BL186" s="253"/>
    </row>
    <row r="187" spans="1:64" ht="23.25">
      <c r="A187" s="269">
        <v>179</v>
      </c>
      <c r="B187" s="1437">
        <f t="shared" si="4"/>
        <v>242.18</v>
      </c>
      <c r="C187" s="1438">
        <f t="shared" si="5"/>
        <v>339.05</v>
      </c>
      <c r="D187" s="279"/>
      <c r="E187" s="1420">
        <v>179</v>
      </c>
      <c r="F187" s="1421">
        <v>223.78</v>
      </c>
      <c r="G187" s="1414">
        <v>313.29000000000002</v>
      </c>
      <c r="H187" s="1404"/>
      <c r="I187" s="1420">
        <v>179</v>
      </c>
      <c r="J187" s="1421">
        <v>228.38</v>
      </c>
      <c r="K187" s="1414">
        <v>319.73</v>
      </c>
      <c r="L187" s="279"/>
      <c r="M187" s="535">
        <v>179</v>
      </c>
      <c r="N187" s="569">
        <v>232.98</v>
      </c>
      <c r="O187" s="569">
        <v>326.17</v>
      </c>
      <c r="P187" s="253"/>
      <c r="Q187" s="535">
        <v>179</v>
      </c>
      <c r="R187" s="569">
        <v>237.58</v>
      </c>
      <c r="S187" s="569">
        <v>332.61</v>
      </c>
      <c r="T187" s="253"/>
      <c r="U187" s="535">
        <v>179</v>
      </c>
      <c r="V187" s="569">
        <v>242.18</v>
      </c>
      <c r="W187" s="569">
        <v>339.05</v>
      </c>
      <c r="X187" s="253"/>
      <c r="Y187" s="535">
        <v>179</v>
      </c>
      <c r="Z187" s="536">
        <v>246.78</v>
      </c>
      <c r="AA187" s="529">
        <v>345.49</v>
      </c>
      <c r="AB187" s="253"/>
      <c r="AC187" s="535">
        <v>179</v>
      </c>
      <c r="AD187" s="536">
        <v>251.38</v>
      </c>
      <c r="AE187" s="529">
        <v>351.93</v>
      </c>
      <c r="AF187" s="253"/>
      <c r="AG187" s="535">
        <v>179</v>
      </c>
      <c r="AH187" s="536">
        <v>255.98</v>
      </c>
      <c r="AI187" s="529">
        <v>358.37</v>
      </c>
      <c r="AJ187" s="253"/>
      <c r="AK187" s="535">
        <v>179</v>
      </c>
      <c r="AL187" s="536">
        <v>260.58</v>
      </c>
      <c r="AM187" s="529">
        <v>364.81</v>
      </c>
      <c r="AN187" s="253"/>
      <c r="AO187" s="535">
        <v>179</v>
      </c>
      <c r="AP187" s="536">
        <v>265.18</v>
      </c>
      <c r="AQ187" s="529">
        <v>371.25</v>
      </c>
      <c r="AR187" s="253"/>
      <c r="AS187" s="535">
        <v>179</v>
      </c>
      <c r="AT187" s="536">
        <v>269.77999999999997</v>
      </c>
      <c r="AU187" s="529">
        <v>377.69</v>
      </c>
      <c r="AV187" s="253"/>
      <c r="AW187" s="535">
        <v>179</v>
      </c>
      <c r="AX187" s="536">
        <v>274.38</v>
      </c>
      <c r="AY187" s="529">
        <v>384.14</v>
      </c>
      <c r="AZ187" s="253"/>
      <c r="BA187" s="535">
        <v>179</v>
      </c>
      <c r="BB187" s="536">
        <v>278.98</v>
      </c>
      <c r="BC187" s="529">
        <v>390.58</v>
      </c>
      <c r="BD187" s="253"/>
      <c r="BE187" s="535">
        <v>179</v>
      </c>
      <c r="BF187" s="536">
        <v>283.58</v>
      </c>
      <c r="BG187" s="529">
        <v>397.02</v>
      </c>
      <c r="BH187" s="253"/>
      <c r="BI187" s="535">
        <v>179</v>
      </c>
      <c r="BJ187" s="536">
        <v>288.18</v>
      </c>
      <c r="BK187" s="529">
        <v>403.46</v>
      </c>
      <c r="BL187" s="253"/>
    </row>
    <row r="188" spans="1:64" ht="23.25">
      <c r="A188" s="269">
        <v>180</v>
      </c>
      <c r="B188" s="1437">
        <f t="shared" si="4"/>
        <v>243.56</v>
      </c>
      <c r="C188" s="1438">
        <f t="shared" si="5"/>
        <v>340.98</v>
      </c>
      <c r="D188" s="279"/>
      <c r="E188" s="1420">
        <v>180</v>
      </c>
      <c r="F188" s="1421">
        <v>225.05</v>
      </c>
      <c r="G188" s="1414">
        <v>315.08</v>
      </c>
      <c r="H188" s="1404"/>
      <c r="I188" s="1420">
        <v>180</v>
      </c>
      <c r="J188" s="1421">
        <v>229.68</v>
      </c>
      <c r="K188" s="1414">
        <v>321.55</v>
      </c>
      <c r="L188" s="279"/>
      <c r="M188" s="535">
        <v>180</v>
      </c>
      <c r="N188" s="569">
        <v>234.31</v>
      </c>
      <c r="O188" s="569">
        <v>328.03</v>
      </c>
      <c r="P188" s="253"/>
      <c r="Q188" s="535">
        <v>180</v>
      </c>
      <c r="R188" s="569">
        <v>238.93</v>
      </c>
      <c r="S188" s="569">
        <v>334.5</v>
      </c>
      <c r="T188" s="253"/>
      <c r="U188" s="535">
        <v>180</v>
      </c>
      <c r="V188" s="569">
        <v>243.56</v>
      </c>
      <c r="W188" s="569">
        <v>340.98</v>
      </c>
      <c r="X188" s="253"/>
      <c r="Y188" s="535">
        <v>180</v>
      </c>
      <c r="Z188" s="536">
        <v>248.18</v>
      </c>
      <c r="AA188" s="529">
        <v>347.46</v>
      </c>
      <c r="AB188" s="253"/>
      <c r="AC188" s="535">
        <v>180</v>
      </c>
      <c r="AD188" s="536">
        <v>252.81</v>
      </c>
      <c r="AE188" s="529">
        <v>353.93</v>
      </c>
      <c r="AF188" s="253"/>
      <c r="AG188" s="535">
        <v>180</v>
      </c>
      <c r="AH188" s="536">
        <v>257.44</v>
      </c>
      <c r="AI188" s="529">
        <v>360.41</v>
      </c>
      <c r="AJ188" s="253"/>
      <c r="AK188" s="535">
        <v>180</v>
      </c>
      <c r="AL188" s="536">
        <v>262.06</v>
      </c>
      <c r="AM188" s="529">
        <v>366.89</v>
      </c>
      <c r="AN188" s="253"/>
      <c r="AO188" s="535">
        <v>180</v>
      </c>
      <c r="AP188" s="536">
        <v>266.69</v>
      </c>
      <c r="AQ188" s="529">
        <v>373.36</v>
      </c>
      <c r="AR188" s="253"/>
      <c r="AS188" s="535">
        <v>180</v>
      </c>
      <c r="AT188" s="536">
        <v>271.31</v>
      </c>
      <c r="AU188" s="529">
        <v>379.84</v>
      </c>
      <c r="AV188" s="253"/>
      <c r="AW188" s="535">
        <v>180</v>
      </c>
      <c r="AX188" s="536">
        <v>275.94</v>
      </c>
      <c r="AY188" s="529">
        <v>386.32</v>
      </c>
      <c r="AZ188" s="253"/>
      <c r="BA188" s="535">
        <v>180</v>
      </c>
      <c r="BB188" s="536">
        <v>280.57</v>
      </c>
      <c r="BC188" s="529">
        <v>392.79</v>
      </c>
      <c r="BD188" s="253"/>
      <c r="BE188" s="535">
        <v>180</v>
      </c>
      <c r="BF188" s="536">
        <v>285.19</v>
      </c>
      <c r="BG188" s="529">
        <v>399.27</v>
      </c>
      <c r="BH188" s="253"/>
      <c r="BI188" s="535">
        <v>180</v>
      </c>
      <c r="BJ188" s="536">
        <v>289.82</v>
      </c>
      <c r="BK188" s="529">
        <v>405.74</v>
      </c>
      <c r="BL188" s="253"/>
    </row>
    <row r="189" spans="1:64" ht="23.25">
      <c r="A189" s="269">
        <v>181</v>
      </c>
      <c r="B189" s="1437">
        <f t="shared" si="4"/>
        <v>244.94</v>
      </c>
      <c r="C189" s="1438">
        <f t="shared" si="5"/>
        <v>342.91</v>
      </c>
      <c r="D189" s="279"/>
      <c r="E189" s="1420">
        <v>181</v>
      </c>
      <c r="F189" s="1421">
        <v>226.33</v>
      </c>
      <c r="G189" s="1414">
        <v>316.86</v>
      </c>
      <c r="H189" s="1404"/>
      <c r="I189" s="1420">
        <v>181</v>
      </c>
      <c r="J189" s="1421">
        <v>230.98</v>
      </c>
      <c r="K189" s="1414">
        <v>323.37</v>
      </c>
      <c r="L189" s="279"/>
      <c r="M189" s="535">
        <v>181</v>
      </c>
      <c r="N189" s="569">
        <v>235.63</v>
      </c>
      <c r="O189" s="569">
        <v>329.89</v>
      </c>
      <c r="P189" s="253"/>
      <c r="Q189" s="535">
        <v>181</v>
      </c>
      <c r="R189" s="569">
        <v>240.29</v>
      </c>
      <c r="S189" s="569">
        <v>336.4</v>
      </c>
      <c r="T189" s="253"/>
      <c r="U189" s="535">
        <v>181</v>
      </c>
      <c r="V189" s="569">
        <v>244.94</v>
      </c>
      <c r="W189" s="569">
        <v>342.91</v>
      </c>
      <c r="X189" s="253"/>
      <c r="Y189" s="535">
        <v>181</v>
      </c>
      <c r="Z189" s="536">
        <v>249.59</v>
      </c>
      <c r="AA189" s="529">
        <v>349.42</v>
      </c>
      <c r="AB189" s="253"/>
      <c r="AC189" s="535">
        <v>181</v>
      </c>
      <c r="AD189" s="536">
        <v>254.24</v>
      </c>
      <c r="AE189" s="529">
        <v>355.94</v>
      </c>
      <c r="AF189" s="253"/>
      <c r="AG189" s="535">
        <v>181</v>
      </c>
      <c r="AH189" s="536">
        <v>258.89</v>
      </c>
      <c r="AI189" s="529">
        <v>362.45</v>
      </c>
      <c r="AJ189" s="253"/>
      <c r="AK189" s="535">
        <v>181</v>
      </c>
      <c r="AL189" s="536">
        <v>263.54000000000002</v>
      </c>
      <c r="AM189" s="529">
        <v>368.96</v>
      </c>
      <c r="AN189" s="253"/>
      <c r="AO189" s="535">
        <v>181</v>
      </c>
      <c r="AP189" s="536">
        <v>268.2</v>
      </c>
      <c r="AQ189" s="529">
        <v>375.47</v>
      </c>
      <c r="AR189" s="253"/>
      <c r="AS189" s="535">
        <v>181</v>
      </c>
      <c r="AT189" s="536">
        <v>272.85000000000002</v>
      </c>
      <c r="AU189" s="529">
        <v>381.99</v>
      </c>
      <c r="AV189" s="253"/>
      <c r="AW189" s="535">
        <v>181</v>
      </c>
      <c r="AX189" s="536">
        <v>277.5</v>
      </c>
      <c r="AY189" s="529">
        <v>388.5</v>
      </c>
      <c r="AZ189" s="253"/>
      <c r="BA189" s="535">
        <v>181</v>
      </c>
      <c r="BB189" s="536">
        <v>282.14999999999998</v>
      </c>
      <c r="BC189" s="529">
        <v>395.01</v>
      </c>
      <c r="BD189" s="253"/>
      <c r="BE189" s="535">
        <v>181</v>
      </c>
      <c r="BF189" s="536">
        <v>286.8</v>
      </c>
      <c r="BG189" s="529">
        <v>401.52</v>
      </c>
      <c r="BH189" s="253"/>
      <c r="BI189" s="535">
        <v>181</v>
      </c>
      <c r="BJ189" s="536">
        <v>291.45</v>
      </c>
      <c r="BK189" s="529">
        <v>408.04</v>
      </c>
      <c r="BL189" s="253"/>
    </row>
    <row r="190" spans="1:64" ht="23.25">
      <c r="A190" s="269">
        <v>182</v>
      </c>
      <c r="B190" s="1437">
        <f t="shared" si="4"/>
        <v>246.32</v>
      </c>
      <c r="C190" s="1438">
        <f t="shared" si="5"/>
        <v>344.85</v>
      </c>
      <c r="D190" s="279"/>
      <c r="E190" s="1420">
        <v>182</v>
      </c>
      <c r="F190" s="1421">
        <v>227.61</v>
      </c>
      <c r="G190" s="1414">
        <v>318.64999999999998</v>
      </c>
      <c r="H190" s="1404"/>
      <c r="I190" s="1420">
        <v>182</v>
      </c>
      <c r="J190" s="1421">
        <v>232.29</v>
      </c>
      <c r="K190" s="1414">
        <v>325.2</v>
      </c>
      <c r="L190" s="279"/>
      <c r="M190" s="535">
        <v>182</v>
      </c>
      <c r="N190" s="569">
        <v>236.96</v>
      </c>
      <c r="O190" s="569">
        <v>331.75</v>
      </c>
      <c r="P190" s="253"/>
      <c r="Q190" s="535">
        <v>182</v>
      </c>
      <c r="R190" s="569">
        <v>241.64</v>
      </c>
      <c r="S190" s="569">
        <v>338.3</v>
      </c>
      <c r="T190" s="253"/>
      <c r="U190" s="535">
        <v>182</v>
      </c>
      <c r="V190" s="569">
        <v>246.32</v>
      </c>
      <c r="W190" s="569">
        <v>344.85</v>
      </c>
      <c r="X190" s="253"/>
      <c r="Y190" s="535">
        <v>182</v>
      </c>
      <c r="Z190" s="536">
        <v>251</v>
      </c>
      <c r="AA190" s="529">
        <v>351.39</v>
      </c>
      <c r="AB190" s="253"/>
      <c r="AC190" s="535">
        <v>182</v>
      </c>
      <c r="AD190" s="536">
        <v>255.67</v>
      </c>
      <c r="AE190" s="529">
        <v>357.94</v>
      </c>
      <c r="AF190" s="253"/>
      <c r="AG190" s="535">
        <v>182</v>
      </c>
      <c r="AH190" s="536">
        <v>260.35000000000002</v>
      </c>
      <c r="AI190" s="529">
        <v>364.49</v>
      </c>
      <c r="AJ190" s="253"/>
      <c r="AK190" s="535">
        <v>182</v>
      </c>
      <c r="AL190" s="536">
        <v>265.02999999999997</v>
      </c>
      <c r="AM190" s="529">
        <v>371.04</v>
      </c>
      <c r="AN190" s="253"/>
      <c r="AO190" s="535">
        <v>182</v>
      </c>
      <c r="AP190" s="536">
        <v>269.70999999999998</v>
      </c>
      <c r="AQ190" s="529">
        <v>377.59</v>
      </c>
      <c r="AR190" s="253"/>
      <c r="AS190" s="535">
        <v>182</v>
      </c>
      <c r="AT190" s="536">
        <v>274.38</v>
      </c>
      <c r="AU190" s="529">
        <v>384.14</v>
      </c>
      <c r="AV190" s="253"/>
      <c r="AW190" s="535">
        <v>182</v>
      </c>
      <c r="AX190" s="536">
        <v>279.06</v>
      </c>
      <c r="AY190" s="529">
        <v>390.68</v>
      </c>
      <c r="AZ190" s="253"/>
      <c r="BA190" s="535">
        <v>182</v>
      </c>
      <c r="BB190" s="536">
        <v>283.74</v>
      </c>
      <c r="BC190" s="529">
        <v>397.23</v>
      </c>
      <c r="BD190" s="253"/>
      <c r="BE190" s="535">
        <v>182</v>
      </c>
      <c r="BF190" s="536">
        <v>288.41000000000003</v>
      </c>
      <c r="BG190" s="529">
        <v>403.78</v>
      </c>
      <c r="BH190" s="253"/>
      <c r="BI190" s="535">
        <v>182</v>
      </c>
      <c r="BJ190" s="536">
        <v>293.08999999999997</v>
      </c>
      <c r="BK190" s="529">
        <v>410.33</v>
      </c>
      <c r="BL190" s="253"/>
    </row>
    <row r="191" spans="1:64" ht="23.25">
      <c r="A191" s="269">
        <v>183</v>
      </c>
      <c r="B191" s="1437">
        <f t="shared" si="4"/>
        <v>247.7</v>
      </c>
      <c r="C191" s="1438">
        <f t="shared" si="5"/>
        <v>346.78</v>
      </c>
      <c r="D191" s="279"/>
      <c r="E191" s="1420">
        <v>183</v>
      </c>
      <c r="F191" s="1421">
        <v>228.89</v>
      </c>
      <c r="G191" s="1414">
        <v>320.44</v>
      </c>
      <c r="H191" s="1404"/>
      <c r="I191" s="1420">
        <v>183</v>
      </c>
      <c r="J191" s="1421">
        <v>233.59</v>
      </c>
      <c r="K191" s="1414">
        <v>327.02999999999997</v>
      </c>
      <c r="L191" s="279"/>
      <c r="M191" s="535">
        <v>183</v>
      </c>
      <c r="N191" s="569">
        <v>238.3</v>
      </c>
      <c r="O191" s="569">
        <v>333.61</v>
      </c>
      <c r="P191" s="253"/>
      <c r="Q191" s="535">
        <v>183</v>
      </c>
      <c r="R191" s="569">
        <v>243</v>
      </c>
      <c r="S191" s="569">
        <v>340.2</v>
      </c>
      <c r="T191" s="253"/>
      <c r="U191" s="535">
        <v>183</v>
      </c>
      <c r="V191" s="569">
        <v>247.7</v>
      </c>
      <c r="W191" s="569">
        <v>346.78</v>
      </c>
      <c r="X191" s="253"/>
      <c r="Y191" s="535">
        <v>183</v>
      </c>
      <c r="Z191" s="536">
        <v>252.4</v>
      </c>
      <c r="AA191" s="529">
        <v>353.37</v>
      </c>
      <c r="AB191" s="253"/>
      <c r="AC191" s="535">
        <v>183</v>
      </c>
      <c r="AD191" s="536">
        <v>257.11</v>
      </c>
      <c r="AE191" s="529">
        <v>359.95</v>
      </c>
      <c r="AF191" s="253"/>
      <c r="AG191" s="535">
        <v>183</v>
      </c>
      <c r="AH191" s="536">
        <v>261.81</v>
      </c>
      <c r="AI191" s="529">
        <v>366.54</v>
      </c>
      <c r="AJ191" s="253"/>
      <c r="AK191" s="535">
        <v>183</v>
      </c>
      <c r="AL191" s="536">
        <v>266.51</v>
      </c>
      <c r="AM191" s="529">
        <v>373.12</v>
      </c>
      <c r="AN191" s="253"/>
      <c r="AO191" s="535">
        <v>183</v>
      </c>
      <c r="AP191" s="536">
        <v>271.22000000000003</v>
      </c>
      <c r="AQ191" s="529">
        <v>379.7</v>
      </c>
      <c r="AR191" s="253"/>
      <c r="AS191" s="535">
        <v>183</v>
      </c>
      <c r="AT191" s="536">
        <v>275.92</v>
      </c>
      <c r="AU191" s="529">
        <v>386.29</v>
      </c>
      <c r="AV191" s="253"/>
      <c r="AW191" s="535">
        <v>183</v>
      </c>
      <c r="AX191" s="536">
        <v>280.62</v>
      </c>
      <c r="AY191" s="529">
        <v>392.87</v>
      </c>
      <c r="AZ191" s="253"/>
      <c r="BA191" s="535">
        <v>183</v>
      </c>
      <c r="BB191" s="536">
        <v>285.33</v>
      </c>
      <c r="BC191" s="529">
        <v>399.46</v>
      </c>
      <c r="BD191" s="253"/>
      <c r="BE191" s="535">
        <v>183</v>
      </c>
      <c r="BF191" s="536">
        <v>290.02999999999997</v>
      </c>
      <c r="BG191" s="529">
        <v>406.04</v>
      </c>
      <c r="BH191" s="253"/>
      <c r="BI191" s="535">
        <v>183</v>
      </c>
      <c r="BJ191" s="536">
        <v>294.73</v>
      </c>
      <c r="BK191" s="529">
        <v>412.63</v>
      </c>
      <c r="BL191" s="253"/>
    </row>
    <row r="192" spans="1:64" ht="23.25">
      <c r="A192" s="269">
        <v>184</v>
      </c>
      <c r="B192" s="1437">
        <f t="shared" si="4"/>
        <v>248.94</v>
      </c>
      <c r="C192" s="1438">
        <f t="shared" si="5"/>
        <v>348.51</v>
      </c>
      <c r="D192" s="279"/>
      <c r="E192" s="1420">
        <v>184</v>
      </c>
      <c r="F192" s="1421">
        <v>230.02</v>
      </c>
      <c r="G192" s="1414">
        <v>322.02999999999997</v>
      </c>
      <c r="H192" s="1404"/>
      <c r="I192" s="1420">
        <v>184</v>
      </c>
      <c r="J192" s="1421">
        <v>234.75</v>
      </c>
      <c r="K192" s="1414">
        <v>328.65</v>
      </c>
      <c r="L192" s="279"/>
      <c r="M192" s="535">
        <v>184</v>
      </c>
      <c r="N192" s="569">
        <v>239.48</v>
      </c>
      <c r="O192" s="569">
        <v>335.27</v>
      </c>
      <c r="P192" s="253"/>
      <c r="Q192" s="535">
        <v>184</v>
      </c>
      <c r="R192" s="569">
        <v>244.21</v>
      </c>
      <c r="S192" s="569">
        <v>341.89</v>
      </c>
      <c r="T192" s="253"/>
      <c r="U192" s="535">
        <v>184</v>
      </c>
      <c r="V192" s="569">
        <v>248.94</v>
      </c>
      <c r="W192" s="569">
        <v>348.51</v>
      </c>
      <c r="X192" s="253"/>
      <c r="Y192" s="535">
        <v>184</v>
      </c>
      <c r="Z192" s="536">
        <v>253.67</v>
      </c>
      <c r="AA192" s="529">
        <v>355.13</v>
      </c>
      <c r="AB192" s="253"/>
      <c r="AC192" s="535">
        <v>184</v>
      </c>
      <c r="AD192" s="536">
        <v>258.39999999999998</v>
      </c>
      <c r="AE192" s="529">
        <v>361.75</v>
      </c>
      <c r="AF192" s="253"/>
      <c r="AG192" s="535">
        <v>184</v>
      </c>
      <c r="AH192" s="536">
        <v>263.12</v>
      </c>
      <c r="AI192" s="529">
        <v>368.37</v>
      </c>
      <c r="AJ192" s="253"/>
      <c r="AK192" s="535">
        <v>184</v>
      </c>
      <c r="AL192" s="536">
        <v>267.85000000000002</v>
      </c>
      <c r="AM192" s="529">
        <v>374.99</v>
      </c>
      <c r="AN192" s="253"/>
      <c r="AO192" s="535">
        <v>184</v>
      </c>
      <c r="AP192" s="536">
        <v>272.58</v>
      </c>
      <c r="AQ192" s="529">
        <v>381.61</v>
      </c>
      <c r="AR192" s="253"/>
      <c r="AS192" s="535">
        <v>184</v>
      </c>
      <c r="AT192" s="536">
        <v>277.31</v>
      </c>
      <c r="AU192" s="529">
        <v>388.23</v>
      </c>
      <c r="AV192" s="253"/>
      <c r="AW192" s="535">
        <v>184</v>
      </c>
      <c r="AX192" s="536">
        <v>282.04000000000002</v>
      </c>
      <c r="AY192" s="529">
        <v>394.86</v>
      </c>
      <c r="AZ192" s="253"/>
      <c r="BA192" s="535">
        <v>184</v>
      </c>
      <c r="BB192" s="536">
        <v>286.77</v>
      </c>
      <c r="BC192" s="529">
        <v>401.48</v>
      </c>
      <c r="BD192" s="253"/>
      <c r="BE192" s="535">
        <v>184</v>
      </c>
      <c r="BF192" s="536">
        <v>291.5</v>
      </c>
      <c r="BG192" s="529">
        <v>408.1</v>
      </c>
      <c r="BH192" s="253"/>
      <c r="BI192" s="535">
        <v>184</v>
      </c>
      <c r="BJ192" s="536">
        <v>296.23</v>
      </c>
      <c r="BK192" s="529">
        <v>414.72</v>
      </c>
      <c r="BL192" s="253"/>
    </row>
    <row r="193" spans="1:64" ht="23.25">
      <c r="A193" s="269">
        <v>185</v>
      </c>
      <c r="B193" s="1437">
        <f t="shared" si="4"/>
        <v>250.32</v>
      </c>
      <c r="C193" s="1438">
        <f t="shared" si="5"/>
        <v>350.45</v>
      </c>
      <c r="D193" s="279"/>
      <c r="E193" s="1420">
        <v>185</v>
      </c>
      <c r="F193" s="1421">
        <v>231.31</v>
      </c>
      <c r="G193" s="1414">
        <v>323.83</v>
      </c>
      <c r="H193" s="1404"/>
      <c r="I193" s="1420">
        <v>185</v>
      </c>
      <c r="J193" s="1421">
        <v>236.06</v>
      </c>
      <c r="K193" s="1414">
        <v>330.48</v>
      </c>
      <c r="L193" s="279"/>
      <c r="M193" s="535">
        <v>185</v>
      </c>
      <c r="N193" s="569">
        <v>240.81</v>
      </c>
      <c r="O193" s="569">
        <v>337.14</v>
      </c>
      <c r="P193" s="253"/>
      <c r="Q193" s="535">
        <v>185</v>
      </c>
      <c r="R193" s="569">
        <v>245.57</v>
      </c>
      <c r="S193" s="569">
        <v>343.8</v>
      </c>
      <c r="T193" s="253"/>
      <c r="U193" s="535">
        <v>185</v>
      </c>
      <c r="V193" s="569">
        <v>250.32</v>
      </c>
      <c r="W193" s="569">
        <v>350.45</v>
      </c>
      <c r="X193" s="253"/>
      <c r="Y193" s="535">
        <v>185</v>
      </c>
      <c r="Z193" s="536">
        <v>255.08</v>
      </c>
      <c r="AA193" s="529">
        <v>357.11</v>
      </c>
      <c r="AB193" s="253"/>
      <c r="AC193" s="535">
        <v>185</v>
      </c>
      <c r="AD193" s="536">
        <v>259.83</v>
      </c>
      <c r="AE193" s="529">
        <v>363.76</v>
      </c>
      <c r="AF193" s="253"/>
      <c r="AG193" s="535">
        <v>185</v>
      </c>
      <c r="AH193" s="536">
        <v>264.58999999999997</v>
      </c>
      <c r="AI193" s="529">
        <v>370.42</v>
      </c>
      <c r="AJ193" s="253"/>
      <c r="AK193" s="535">
        <v>185</v>
      </c>
      <c r="AL193" s="536">
        <v>269.33999999999997</v>
      </c>
      <c r="AM193" s="529">
        <v>377.08</v>
      </c>
      <c r="AN193" s="253"/>
      <c r="AO193" s="535">
        <v>185</v>
      </c>
      <c r="AP193" s="536">
        <v>274.10000000000002</v>
      </c>
      <c r="AQ193" s="529">
        <v>383.73</v>
      </c>
      <c r="AR193" s="253"/>
      <c r="AS193" s="535">
        <v>185</v>
      </c>
      <c r="AT193" s="536">
        <v>278.85000000000002</v>
      </c>
      <c r="AU193" s="529">
        <v>390.39</v>
      </c>
      <c r="AV193" s="253"/>
      <c r="AW193" s="535">
        <v>185</v>
      </c>
      <c r="AX193" s="536">
        <v>283.60000000000002</v>
      </c>
      <c r="AY193" s="529">
        <v>397.05</v>
      </c>
      <c r="AZ193" s="253"/>
      <c r="BA193" s="535">
        <v>185</v>
      </c>
      <c r="BB193" s="536">
        <v>288.36</v>
      </c>
      <c r="BC193" s="529">
        <v>403.7</v>
      </c>
      <c r="BD193" s="253"/>
      <c r="BE193" s="535">
        <v>185</v>
      </c>
      <c r="BF193" s="536">
        <v>293.11</v>
      </c>
      <c r="BG193" s="529">
        <v>410.36</v>
      </c>
      <c r="BH193" s="253"/>
      <c r="BI193" s="535">
        <v>185</v>
      </c>
      <c r="BJ193" s="536">
        <v>297.87</v>
      </c>
      <c r="BK193" s="529">
        <v>417.02</v>
      </c>
      <c r="BL193" s="253"/>
    </row>
    <row r="194" spans="1:64" ht="23.25">
      <c r="A194" s="269">
        <v>186</v>
      </c>
      <c r="B194" s="1437">
        <f t="shared" si="4"/>
        <v>251.71</v>
      </c>
      <c r="C194" s="1438">
        <f t="shared" si="5"/>
        <v>352.39</v>
      </c>
      <c r="D194" s="279"/>
      <c r="E194" s="1420">
        <v>156</v>
      </c>
      <c r="F194" s="1421">
        <v>232.59</v>
      </c>
      <c r="G194" s="1414">
        <v>325.63</v>
      </c>
      <c r="H194" s="1404"/>
      <c r="I194" s="1420">
        <v>156</v>
      </c>
      <c r="J194" s="1421">
        <v>237.37</v>
      </c>
      <c r="K194" s="1414">
        <v>332.32</v>
      </c>
      <c r="L194" s="279"/>
      <c r="M194" s="535">
        <v>186</v>
      </c>
      <c r="N194" s="569">
        <v>242.15</v>
      </c>
      <c r="O194" s="569">
        <v>339.01</v>
      </c>
      <c r="P194" s="253"/>
      <c r="Q194" s="535">
        <v>186</v>
      </c>
      <c r="R194" s="569">
        <v>246.93</v>
      </c>
      <c r="S194" s="569">
        <v>345.7</v>
      </c>
      <c r="T194" s="253"/>
      <c r="U194" s="535">
        <v>186</v>
      </c>
      <c r="V194" s="569">
        <v>251.71</v>
      </c>
      <c r="W194" s="569">
        <v>352.39</v>
      </c>
      <c r="X194" s="253"/>
      <c r="Y194" s="535">
        <v>186</v>
      </c>
      <c r="Z194" s="536">
        <v>256.49</v>
      </c>
      <c r="AA194" s="529">
        <v>359.09</v>
      </c>
      <c r="AB194" s="253"/>
      <c r="AC194" s="535">
        <v>186</v>
      </c>
      <c r="AD194" s="536">
        <v>261.27</v>
      </c>
      <c r="AE194" s="529">
        <v>265.77999999999997</v>
      </c>
      <c r="AF194" s="253"/>
      <c r="AG194" s="535">
        <v>186</v>
      </c>
      <c r="AH194" s="536">
        <v>266.05</v>
      </c>
      <c r="AI194" s="529">
        <v>372.47</v>
      </c>
      <c r="AJ194" s="253"/>
      <c r="AK194" s="535">
        <v>186</v>
      </c>
      <c r="AL194" s="536">
        <v>270.83</v>
      </c>
      <c r="AM194" s="529">
        <v>379.16</v>
      </c>
      <c r="AN194" s="253"/>
      <c r="AO194" s="535">
        <v>186</v>
      </c>
      <c r="AP194" s="536">
        <v>275.61</v>
      </c>
      <c r="AQ194" s="529">
        <v>385.86</v>
      </c>
      <c r="AR194" s="253"/>
      <c r="AS194" s="535">
        <v>186</v>
      </c>
      <c r="AT194" s="536">
        <v>280.39</v>
      </c>
      <c r="AU194" s="529">
        <v>392.55</v>
      </c>
      <c r="AV194" s="253"/>
      <c r="AW194" s="535">
        <v>186</v>
      </c>
      <c r="AX194" s="536">
        <v>285.17</v>
      </c>
      <c r="AY194" s="529">
        <v>399.24</v>
      </c>
      <c r="AZ194" s="253"/>
      <c r="BA194" s="535">
        <v>186</v>
      </c>
      <c r="BB194" s="536">
        <v>289.95</v>
      </c>
      <c r="BC194" s="529">
        <v>405.93</v>
      </c>
      <c r="BD194" s="253"/>
      <c r="BE194" s="535">
        <v>186</v>
      </c>
      <c r="BF194" s="536">
        <v>294.73</v>
      </c>
      <c r="BG194" s="529">
        <v>412.63</v>
      </c>
      <c r="BH194" s="253"/>
      <c r="BI194" s="535">
        <v>186</v>
      </c>
      <c r="BJ194" s="536">
        <v>299.51</v>
      </c>
      <c r="BK194" s="529">
        <v>419.32</v>
      </c>
      <c r="BL194" s="253"/>
    </row>
    <row r="195" spans="1:64" ht="23.25">
      <c r="A195" s="269">
        <v>187</v>
      </c>
      <c r="B195" s="1437">
        <f t="shared" si="4"/>
        <v>253.1</v>
      </c>
      <c r="C195" s="1438">
        <f t="shared" si="5"/>
        <v>354.34</v>
      </c>
      <c r="D195" s="279"/>
      <c r="E195" s="1420">
        <v>187</v>
      </c>
      <c r="F195" s="1421">
        <v>233.88</v>
      </c>
      <c r="G195" s="1414">
        <v>327.43</v>
      </c>
      <c r="H195" s="1404"/>
      <c r="I195" s="1420">
        <v>187</v>
      </c>
      <c r="J195" s="1421">
        <v>238.68</v>
      </c>
      <c r="K195" s="1414">
        <v>334.16</v>
      </c>
      <c r="L195" s="279"/>
      <c r="M195" s="535">
        <v>187</v>
      </c>
      <c r="N195" s="569">
        <v>243.49</v>
      </c>
      <c r="O195" s="569">
        <v>340.88</v>
      </c>
      <c r="P195" s="253"/>
      <c r="Q195" s="535">
        <v>187</v>
      </c>
      <c r="R195" s="569">
        <v>248.29</v>
      </c>
      <c r="S195" s="569">
        <v>347.61</v>
      </c>
      <c r="T195" s="253"/>
      <c r="U195" s="535">
        <v>187</v>
      </c>
      <c r="V195" s="569">
        <v>253.1</v>
      </c>
      <c r="W195" s="569">
        <v>354.34</v>
      </c>
      <c r="X195" s="253"/>
      <c r="Y195" s="535">
        <v>187</v>
      </c>
      <c r="Z195" s="536">
        <v>257.91000000000003</v>
      </c>
      <c r="AA195" s="529">
        <v>361.07</v>
      </c>
      <c r="AB195" s="253"/>
      <c r="AC195" s="535">
        <v>187</v>
      </c>
      <c r="AD195" s="536">
        <v>262.70999999999998</v>
      </c>
      <c r="AE195" s="529">
        <v>367.8</v>
      </c>
      <c r="AF195" s="253"/>
      <c r="AG195" s="535">
        <v>187</v>
      </c>
      <c r="AH195" s="536">
        <v>267.52</v>
      </c>
      <c r="AI195" s="529">
        <v>374.52</v>
      </c>
      <c r="AJ195" s="253"/>
      <c r="AK195" s="535">
        <v>187</v>
      </c>
      <c r="AL195" s="536">
        <v>272.32</v>
      </c>
      <c r="AM195" s="529">
        <v>381.25</v>
      </c>
      <c r="AN195" s="253"/>
      <c r="AO195" s="535">
        <v>187</v>
      </c>
      <c r="AP195" s="536">
        <v>277.13</v>
      </c>
      <c r="AQ195" s="529">
        <v>387.98</v>
      </c>
      <c r="AR195" s="253"/>
      <c r="AS195" s="535">
        <v>187</v>
      </c>
      <c r="AT195" s="536">
        <v>281.94</v>
      </c>
      <c r="AU195" s="529">
        <v>394.71</v>
      </c>
      <c r="AV195" s="253"/>
      <c r="AW195" s="535">
        <v>187</v>
      </c>
      <c r="AX195" s="536">
        <v>286.74</v>
      </c>
      <c r="AY195" s="529">
        <v>401.44</v>
      </c>
      <c r="AZ195" s="253"/>
      <c r="BA195" s="535">
        <v>187</v>
      </c>
      <c r="BB195" s="536">
        <v>291.55</v>
      </c>
      <c r="BC195" s="529">
        <v>408.17</v>
      </c>
      <c r="BD195" s="253"/>
      <c r="BE195" s="535">
        <v>187</v>
      </c>
      <c r="BF195" s="536">
        <v>296.35000000000002</v>
      </c>
      <c r="BG195" s="529">
        <v>414.89</v>
      </c>
      <c r="BH195" s="253"/>
      <c r="BI195" s="535">
        <v>187</v>
      </c>
      <c r="BJ195" s="536">
        <v>301.16000000000003</v>
      </c>
      <c r="BK195" s="529">
        <v>421.62</v>
      </c>
      <c r="BL195" s="253"/>
    </row>
    <row r="196" spans="1:64" ht="23.25">
      <c r="A196" s="269">
        <v>188</v>
      </c>
      <c r="B196" s="1437">
        <f t="shared" si="4"/>
        <v>254.34</v>
      </c>
      <c r="C196" s="1438">
        <f t="shared" si="5"/>
        <v>356.07</v>
      </c>
      <c r="D196" s="279"/>
      <c r="E196" s="1420">
        <v>188</v>
      </c>
      <c r="F196" s="1421">
        <v>235.01</v>
      </c>
      <c r="G196" s="1414">
        <v>329.01</v>
      </c>
      <c r="H196" s="1404"/>
      <c r="I196" s="1420">
        <v>188</v>
      </c>
      <c r="J196" s="1421">
        <v>239.84</v>
      </c>
      <c r="K196" s="1414">
        <v>335.78</v>
      </c>
      <c r="L196" s="279"/>
      <c r="M196" s="535">
        <v>188</v>
      </c>
      <c r="N196" s="569">
        <v>244.67</v>
      </c>
      <c r="O196" s="569">
        <v>342.54</v>
      </c>
      <c r="P196" s="253"/>
      <c r="Q196" s="535">
        <v>188</v>
      </c>
      <c r="R196" s="569">
        <v>249.5</v>
      </c>
      <c r="S196" s="569">
        <v>349.31</v>
      </c>
      <c r="T196" s="253"/>
      <c r="U196" s="535">
        <v>188</v>
      </c>
      <c r="V196" s="569">
        <v>254.34</v>
      </c>
      <c r="W196" s="569">
        <v>356.07</v>
      </c>
      <c r="X196" s="253"/>
      <c r="Y196" s="535">
        <v>188</v>
      </c>
      <c r="Z196" s="536">
        <v>259.17</v>
      </c>
      <c r="AA196" s="529">
        <v>362.84</v>
      </c>
      <c r="AB196" s="253"/>
      <c r="AC196" s="535">
        <v>188</v>
      </c>
      <c r="AD196" s="536">
        <v>264</v>
      </c>
      <c r="AE196" s="529">
        <v>369.6</v>
      </c>
      <c r="AF196" s="253"/>
      <c r="AG196" s="535">
        <v>188</v>
      </c>
      <c r="AH196" s="536">
        <v>268.83</v>
      </c>
      <c r="AI196" s="529">
        <v>376.36</v>
      </c>
      <c r="AJ196" s="253"/>
      <c r="AK196" s="535">
        <v>188</v>
      </c>
      <c r="AL196" s="536">
        <v>273.66000000000003</v>
      </c>
      <c r="AM196" s="529">
        <v>383.13</v>
      </c>
      <c r="AN196" s="253"/>
      <c r="AO196" s="535">
        <v>188</v>
      </c>
      <c r="AP196" s="536">
        <v>278.49</v>
      </c>
      <c r="AQ196" s="529">
        <v>389.89</v>
      </c>
      <c r="AR196" s="253"/>
      <c r="AS196" s="535">
        <v>188</v>
      </c>
      <c r="AT196" s="536">
        <v>283.33</v>
      </c>
      <c r="AU196" s="529">
        <v>396.66</v>
      </c>
      <c r="AV196" s="253"/>
      <c r="AW196" s="535">
        <v>188</v>
      </c>
      <c r="AX196" s="536">
        <v>288.16000000000003</v>
      </c>
      <c r="AY196" s="529">
        <v>403.42</v>
      </c>
      <c r="AZ196" s="253"/>
      <c r="BA196" s="535">
        <v>188</v>
      </c>
      <c r="BB196" s="536">
        <v>292.99</v>
      </c>
      <c r="BC196" s="529">
        <v>410.18</v>
      </c>
      <c r="BD196" s="253"/>
      <c r="BE196" s="535">
        <v>188</v>
      </c>
      <c r="BF196" s="536">
        <v>297.82</v>
      </c>
      <c r="BG196" s="529">
        <v>416.95</v>
      </c>
      <c r="BH196" s="253"/>
      <c r="BI196" s="535">
        <v>188</v>
      </c>
      <c r="BJ196" s="536">
        <v>302.64999999999998</v>
      </c>
      <c r="BK196" s="529">
        <v>423.71</v>
      </c>
      <c r="BL196" s="253"/>
    </row>
    <row r="197" spans="1:64" ht="23.25">
      <c r="A197" s="269">
        <v>189</v>
      </c>
      <c r="B197" s="1437">
        <f t="shared" si="4"/>
        <v>255.73</v>
      </c>
      <c r="C197" s="1438">
        <f t="shared" si="5"/>
        <v>358.02</v>
      </c>
      <c r="D197" s="279"/>
      <c r="E197" s="1420">
        <v>189</v>
      </c>
      <c r="F197" s="1421">
        <v>236.3</v>
      </c>
      <c r="G197" s="1414">
        <v>330.82</v>
      </c>
      <c r="H197" s="1404"/>
      <c r="I197" s="1420">
        <v>189</v>
      </c>
      <c r="J197" s="1421">
        <v>241.16</v>
      </c>
      <c r="K197" s="1414">
        <v>337.62</v>
      </c>
      <c r="L197" s="279"/>
      <c r="M197" s="535">
        <v>189</v>
      </c>
      <c r="N197" s="569">
        <v>246.01</v>
      </c>
      <c r="O197" s="569">
        <v>344.42</v>
      </c>
      <c r="P197" s="253"/>
      <c r="Q197" s="535">
        <v>189</v>
      </c>
      <c r="R197" s="569">
        <v>250.87</v>
      </c>
      <c r="S197" s="569">
        <v>351.22</v>
      </c>
      <c r="T197" s="253"/>
      <c r="U197" s="535">
        <v>189</v>
      </c>
      <c r="V197" s="569">
        <v>255.73</v>
      </c>
      <c r="W197" s="569">
        <v>358.02</v>
      </c>
      <c r="X197" s="253"/>
      <c r="Y197" s="535">
        <v>189</v>
      </c>
      <c r="Z197" s="536">
        <v>260.58999999999997</v>
      </c>
      <c r="AA197" s="529">
        <v>364.82</v>
      </c>
      <c r="AB197" s="253"/>
      <c r="AC197" s="535">
        <v>189</v>
      </c>
      <c r="AD197" s="536">
        <v>265.44</v>
      </c>
      <c r="AE197" s="529">
        <v>371.62</v>
      </c>
      <c r="AF197" s="253"/>
      <c r="AG197" s="535">
        <v>189</v>
      </c>
      <c r="AH197" s="536">
        <v>270.3</v>
      </c>
      <c r="AI197" s="529">
        <v>378.42</v>
      </c>
      <c r="AJ197" s="253"/>
      <c r="AK197" s="535">
        <v>189</v>
      </c>
      <c r="AL197" s="536">
        <v>275.16000000000003</v>
      </c>
      <c r="AM197" s="529">
        <v>385.22</v>
      </c>
      <c r="AN197" s="253"/>
      <c r="AO197" s="535">
        <v>189</v>
      </c>
      <c r="AP197" s="536">
        <v>280.01</v>
      </c>
      <c r="AQ197" s="529">
        <v>392.02</v>
      </c>
      <c r="AR197" s="253"/>
      <c r="AS197" s="535">
        <v>189</v>
      </c>
      <c r="AT197" s="536">
        <v>284.87</v>
      </c>
      <c r="AU197" s="529">
        <v>398.82</v>
      </c>
      <c r="AV197" s="253"/>
      <c r="AW197" s="535">
        <v>189</v>
      </c>
      <c r="AX197" s="536">
        <v>289.73</v>
      </c>
      <c r="AY197" s="529">
        <v>405.62</v>
      </c>
      <c r="AZ197" s="253"/>
      <c r="BA197" s="535">
        <v>189</v>
      </c>
      <c r="BB197" s="536">
        <v>294.58999999999997</v>
      </c>
      <c r="BC197" s="529">
        <v>412.42</v>
      </c>
      <c r="BD197" s="253"/>
      <c r="BE197" s="535">
        <v>189</v>
      </c>
      <c r="BF197" s="536">
        <v>299.44</v>
      </c>
      <c r="BG197" s="529">
        <v>419.22</v>
      </c>
      <c r="BH197" s="253"/>
      <c r="BI197" s="535">
        <v>189</v>
      </c>
      <c r="BJ197" s="536">
        <v>304.3</v>
      </c>
      <c r="BK197" s="529">
        <v>426.02</v>
      </c>
      <c r="BL197" s="253"/>
    </row>
    <row r="198" spans="1:64" ht="23.25">
      <c r="A198" s="269">
        <v>190</v>
      </c>
      <c r="B198" s="1437">
        <f t="shared" si="4"/>
        <v>257.12</v>
      </c>
      <c r="C198" s="1438">
        <f t="shared" si="5"/>
        <v>359.97</v>
      </c>
      <c r="D198" s="279"/>
      <c r="E198" s="1420">
        <v>190</v>
      </c>
      <c r="F198" s="1421">
        <v>237.59</v>
      </c>
      <c r="G198" s="1414">
        <v>332.63</v>
      </c>
      <c r="H198" s="1404"/>
      <c r="I198" s="1420">
        <v>190</v>
      </c>
      <c r="J198" s="1421">
        <v>242.47</v>
      </c>
      <c r="K198" s="1414">
        <v>339.46</v>
      </c>
      <c r="L198" s="279"/>
      <c r="M198" s="535">
        <v>190</v>
      </c>
      <c r="N198" s="569">
        <v>247.36</v>
      </c>
      <c r="O198" s="569">
        <v>346.3</v>
      </c>
      <c r="P198" s="253"/>
      <c r="Q198" s="535">
        <v>190</v>
      </c>
      <c r="R198" s="569">
        <v>252.24</v>
      </c>
      <c r="S198" s="569">
        <v>353.13</v>
      </c>
      <c r="T198" s="253"/>
      <c r="U198" s="535">
        <v>190</v>
      </c>
      <c r="V198" s="569">
        <v>257.12</v>
      </c>
      <c r="W198" s="569">
        <v>359.97</v>
      </c>
      <c r="X198" s="253"/>
      <c r="Y198" s="535">
        <v>190</v>
      </c>
      <c r="Z198" s="536">
        <v>262</v>
      </c>
      <c r="AA198" s="529">
        <v>366.81</v>
      </c>
      <c r="AB198" s="253"/>
      <c r="AC198" s="535">
        <v>190</v>
      </c>
      <c r="AD198" s="536">
        <v>266.89</v>
      </c>
      <c r="AE198" s="529">
        <v>373.64</v>
      </c>
      <c r="AF198" s="253"/>
      <c r="AG198" s="535">
        <v>190</v>
      </c>
      <c r="AH198" s="536">
        <v>271.77</v>
      </c>
      <c r="AI198" s="529">
        <v>380.48</v>
      </c>
      <c r="AJ198" s="253"/>
      <c r="AK198" s="535">
        <v>190</v>
      </c>
      <c r="AL198" s="536">
        <v>276.64999999999998</v>
      </c>
      <c r="AM198" s="529">
        <v>387.32</v>
      </c>
      <c r="AN198" s="253"/>
      <c r="AO198" s="535">
        <v>190</v>
      </c>
      <c r="AP198" s="536">
        <v>281.54000000000002</v>
      </c>
      <c r="AQ198" s="529">
        <v>394.15</v>
      </c>
      <c r="AR198" s="253"/>
      <c r="AS198" s="535">
        <v>190</v>
      </c>
      <c r="AT198" s="536">
        <v>286.42</v>
      </c>
      <c r="AU198" s="529">
        <v>400.99</v>
      </c>
      <c r="AV198" s="253"/>
      <c r="AW198" s="535">
        <v>190</v>
      </c>
      <c r="AX198" s="536">
        <v>291.3</v>
      </c>
      <c r="AY198" s="529">
        <v>407.82</v>
      </c>
      <c r="AZ198" s="253"/>
      <c r="BA198" s="535">
        <v>190</v>
      </c>
      <c r="BB198" s="536">
        <v>296.19</v>
      </c>
      <c r="BC198" s="529">
        <v>414.66</v>
      </c>
      <c r="BD198" s="253"/>
      <c r="BE198" s="535">
        <v>190</v>
      </c>
      <c r="BF198" s="536">
        <v>301.07</v>
      </c>
      <c r="BG198" s="529">
        <v>421.5</v>
      </c>
      <c r="BH198" s="253"/>
      <c r="BI198" s="535">
        <v>190</v>
      </c>
      <c r="BJ198" s="536">
        <v>305.95</v>
      </c>
      <c r="BK198" s="529">
        <v>428.33</v>
      </c>
      <c r="BL198" s="253"/>
    </row>
    <row r="199" spans="1:64" ht="23.25">
      <c r="A199" s="269">
        <v>191</v>
      </c>
      <c r="B199" s="1437">
        <f t="shared" si="4"/>
        <v>258.52</v>
      </c>
      <c r="C199" s="1438">
        <f t="shared" si="5"/>
        <v>361.93</v>
      </c>
      <c r="D199" s="279"/>
      <c r="E199" s="1420">
        <v>191</v>
      </c>
      <c r="F199" s="1421">
        <v>238.88</v>
      </c>
      <c r="G199" s="1414">
        <v>334.44</v>
      </c>
      <c r="H199" s="1404"/>
      <c r="I199" s="1420">
        <v>191</v>
      </c>
      <c r="J199" s="1421">
        <v>243.79</v>
      </c>
      <c r="K199" s="1414">
        <v>341.31</v>
      </c>
      <c r="L199" s="279"/>
      <c r="M199" s="535">
        <v>191</v>
      </c>
      <c r="N199" s="569">
        <v>248.7</v>
      </c>
      <c r="O199" s="569">
        <v>348.18</v>
      </c>
      <c r="P199" s="253"/>
      <c r="Q199" s="535">
        <v>191</v>
      </c>
      <c r="R199" s="569">
        <v>253.61</v>
      </c>
      <c r="S199" s="569">
        <v>355.05</v>
      </c>
      <c r="T199" s="253"/>
      <c r="U199" s="535">
        <v>191</v>
      </c>
      <c r="V199" s="569">
        <v>258.52</v>
      </c>
      <c r="W199" s="569">
        <v>361.93</v>
      </c>
      <c r="X199" s="253"/>
      <c r="Y199" s="535">
        <v>191</v>
      </c>
      <c r="Z199" s="536">
        <v>263.43</v>
      </c>
      <c r="AA199" s="529">
        <v>368.8</v>
      </c>
      <c r="AB199" s="253"/>
      <c r="AC199" s="535">
        <v>191</v>
      </c>
      <c r="AD199" s="536">
        <v>268.33999999999997</v>
      </c>
      <c r="AE199" s="529">
        <v>375.67</v>
      </c>
      <c r="AF199" s="253"/>
      <c r="AG199" s="535">
        <v>191</v>
      </c>
      <c r="AH199" s="536">
        <v>273.24</v>
      </c>
      <c r="AI199" s="529">
        <v>382.54</v>
      </c>
      <c r="AJ199" s="253"/>
      <c r="AK199" s="535">
        <v>191</v>
      </c>
      <c r="AL199" s="536">
        <v>278.14999999999998</v>
      </c>
      <c r="AM199" s="529">
        <v>389.41</v>
      </c>
      <c r="AN199" s="253"/>
      <c r="AO199" s="535">
        <v>191</v>
      </c>
      <c r="AP199" s="536">
        <v>283.06</v>
      </c>
      <c r="AQ199" s="529">
        <v>396.29</v>
      </c>
      <c r="AR199" s="253"/>
      <c r="AS199" s="535">
        <v>191</v>
      </c>
      <c r="AT199" s="536">
        <v>287.97000000000003</v>
      </c>
      <c r="AU199" s="529">
        <v>403.16</v>
      </c>
      <c r="AV199" s="253"/>
      <c r="AW199" s="535">
        <v>191</v>
      </c>
      <c r="AX199" s="536">
        <v>292.88</v>
      </c>
      <c r="AY199" s="529">
        <v>410.03</v>
      </c>
      <c r="AZ199" s="253"/>
      <c r="BA199" s="535">
        <v>191</v>
      </c>
      <c r="BB199" s="536">
        <v>297.79000000000002</v>
      </c>
      <c r="BC199" s="529">
        <v>416.9</v>
      </c>
      <c r="BD199" s="253"/>
      <c r="BE199" s="535">
        <v>191</v>
      </c>
      <c r="BF199" s="536">
        <v>302.7</v>
      </c>
      <c r="BG199" s="529">
        <v>423.78</v>
      </c>
      <c r="BH199" s="253"/>
      <c r="BI199" s="535">
        <v>191</v>
      </c>
      <c r="BJ199" s="536">
        <v>307.61</v>
      </c>
      <c r="BK199" s="529">
        <v>430.65</v>
      </c>
      <c r="BL199" s="253"/>
    </row>
    <row r="200" spans="1:64" ht="23.25">
      <c r="A200" s="269">
        <v>192</v>
      </c>
      <c r="B200" s="1437">
        <f t="shared" si="4"/>
        <v>259.75</v>
      </c>
      <c r="C200" s="1438">
        <f t="shared" si="5"/>
        <v>363.66</v>
      </c>
      <c r="D200" s="279"/>
      <c r="E200" s="1420">
        <v>192</v>
      </c>
      <c r="F200" s="1421">
        <v>240.02</v>
      </c>
      <c r="G200" s="1414">
        <v>336.02</v>
      </c>
      <c r="H200" s="1404"/>
      <c r="I200" s="1420">
        <v>192</v>
      </c>
      <c r="J200" s="1421">
        <v>244.95</v>
      </c>
      <c r="K200" s="1414">
        <v>342.93</v>
      </c>
      <c r="L200" s="279"/>
      <c r="M200" s="535">
        <v>192</v>
      </c>
      <c r="N200" s="569">
        <v>249.89</v>
      </c>
      <c r="O200" s="569">
        <v>349.84</v>
      </c>
      <c r="P200" s="253"/>
      <c r="Q200" s="535">
        <v>192</v>
      </c>
      <c r="R200" s="569">
        <v>254.82</v>
      </c>
      <c r="S200" s="569">
        <v>256.75</v>
      </c>
      <c r="T200" s="253"/>
      <c r="U200" s="535">
        <v>192</v>
      </c>
      <c r="V200" s="569">
        <v>259.75</v>
      </c>
      <c r="W200" s="569">
        <v>363.66</v>
      </c>
      <c r="X200" s="253"/>
      <c r="Y200" s="535">
        <v>192</v>
      </c>
      <c r="Z200" s="536">
        <v>264.69</v>
      </c>
      <c r="AA200" s="529">
        <v>370.56</v>
      </c>
      <c r="AB200" s="253"/>
      <c r="AC200" s="535">
        <v>192</v>
      </c>
      <c r="AD200" s="536">
        <v>269.62</v>
      </c>
      <c r="AE200" s="529">
        <v>377.47</v>
      </c>
      <c r="AF200" s="253"/>
      <c r="AG200" s="535">
        <v>192</v>
      </c>
      <c r="AH200" s="536">
        <v>274.56</v>
      </c>
      <c r="AI200" s="529">
        <v>384.38</v>
      </c>
      <c r="AJ200" s="253"/>
      <c r="AK200" s="535">
        <v>192</v>
      </c>
      <c r="AL200" s="536">
        <v>279.49</v>
      </c>
      <c r="AM200" s="529">
        <v>391.29</v>
      </c>
      <c r="AN200" s="253"/>
      <c r="AO200" s="535">
        <v>192</v>
      </c>
      <c r="AP200" s="536">
        <v>284.43</v>
      </c>
      <c r="AQ200" s="529">
        <v>398.2</v>
      </c>
      <c r="AR200" s="253"/>
      <c r="AS200" s="535">
        <v>192</v>
      </c>
      <c r="AT200" s="536">
        <v>289.36</v>
      </c>
      <c r="AU200" s="529">
        <v>405.11</v>
      </c>
      <c r="AV200" s="253"/>
      <c r="AW200" s="535">
        <v>192</v>
      </c>
      <c r="AX200" s="536">
        <v>294.3</v>
      </c>
      <c r="AY200" s="529">
        <v>412.01</v>
      </c>
      <c r="AZ200" s="253"/>
      <c r="BA200" s="535">
        <v>192</v>
      </c>
      <c r="BB200" s="536">
        <v>299.23</v>
      </c>
      <c r="BC200" s="529">
        <v>418.92</v>
      </c>
      <c r="BD200" s="253"/>
      <c r="BE200" s="535">
        <v>192</v>
      </c>
      <c r="BF200" s="536">
        <v>304.16000000000003</v>
      </c>
      <c r="BG200" s="529">
        <v>425.83</v>
      </c>
      <c r="BH200" s="253"/>
      <c r="BI200" s="535">
        <v>192</v>
      </c>
      <c r="BJ200" s="536">
        <v>309.10000000000002</v>
      </c>
      <c r="BK200" s="529">
        <v>432.74</v>
      </c>
      <c r="BL200" s="253"/>
    </row>
    <row r="201" spans="1:64" ht="23.25">
      <c r="A201" s="269">
        <v>193</v>
      </c>
      <c r="B201" s="1437">
        <f t="shared" si="4"/>
        <v>261.14999999999998</v>
      </c>
      <c r="C201" s="1438">
        <f t="shared" si="5"/>
        <v>365.61</v>
      </c>
      <c r="D201" s="279"/>
      <c r="E201" s="1420">
        <v>193</v>
      </c>
      <c r="F201" s="1421">
        <v>241.31</v>
      </c>
      <c r="G201" s="1414">
        <v>337.84</v>
      </c>
      <c r="H201" s="1404"/>
      <c r="I201" s="1420">
        <v>193</v>
      </c>
      <c r="J201" s="1421">
        <v>246.27</v>
      </c>
      <c r="K201" s="1414">
        <v>344.78</v>
      </c>
      <c r="L201" s="279"/>
      <c r="M201" s="535">
        <v>193</v>
      </c>
      <c r="N201" s="569">
        <v>251.23</v>
      </c>
      <c r="O201" s="569">
        <v>351.73</v>
      </c>
      <c r="P201" s="253"/>
      <c r="Q201" s="535">
        <v>193</v>
      </c>
      <c r="R201" s="569">
        <v>256.19</v>
      </c>
      <c r="S201" s="569">
        <v>358.67</v>
      </c>
      <c r="T201" s="253"/>
      <c r="U201" s="535">
        <v>193</v>
      </c>
      <c r="V201" s="569">
        <v>261.14999999999998</v>
      </c>
      <c r="W201" s="569">
        <v>365.61</v>
      </c>
      <c r="X201" s="253"/>
      <c r="Y201" s="535">
        <v>193</v>
      </c>
      <c r="Z201" s="536">
        <v>266.11</v>
      </c>
      <c r="AA201" s="529">
        <v>372.56</v>
      </c>
      <c r="AB201" s="253"/>
      <c r="AC201" s="535">
        <v>193</v>
      </c>
      <c r="AD201" s="536">
        <v>271.07</v>
      </c>
      <c r="AE201" s="529">
        <v>379.5</v>
      </c>
      <c r="AF201" s="253"/>
      <c r="AG201" s="535">
        <v>193</v>
      </c>
      <c r="AH201" s="536">
        <v>276.02999999999997</v>
      </c>
      <c r="AI201" s="529">
        <v>386.45</v>
      </c>
      <c r="AJ201" s="253"/>
      <c r="AK201" s="535">
        <v>193</v>
      </c>
      <c r="AL201" s="536">
        <v>280.99</v>
      </c>
      <c r="AM201" s="529">
        <v>393.39</v>
      </c>
      <c r="AN201" s="253"/>
      <c r="AO201" s="535">
        <v>193</v>
      </c>
      <c r="AP201" s="536">
        <v>285.95</v>
      </c>
      <c r="AQ201" s="529">
        <v>400.33</v>
      </c>
      <c r="AR201" s="253"/>
      <c r="AS201" s="535">
        <v>193</v>
      </c>
      <c r="AT201" s="536">
        <v>290.91000000000003</v>
      </c>
      <c r="AU201" s="529">
        <v>407.28</v>
      </c>
      <c r="AV201" s="253"/>
      <c r="AW201" s="535">
        <v>193</v>
      </c>
      <c r="AX201" s="536">
        <v>295.87</v>
      </c>
      <c r="AY201" s="529">
        <v>414.22</v>
      </c>
      <c r="AZ201" s="253"/>
      <c r="BA201" s="535">
        <v>193</v>
      </c>
      <c r="BB201" s="536">
        <v>300.83</v>
      </c>
      <c r="BC201" s="529">
        <v>421.17</v>
      </c>
      <c r="BD201" s="253"/>
      <c r="BE201" s="535">
        <v>193</v>
      </c>
      <c r="BF201" s="536">
        <v>305.79000000000002</v>
      </c>
      <c r="BG201" s="529">
        <v>428.11</v>
      </c>
      <c r="BH201" s="253"/>
      <c r="BI201" s="535">
        <v>193</v>
      </c>
      <c r="BJ201" s="536">
        <v>310.75</v>
      </c>
      <c r="BK201" s="529">
        <v>435.06</v>
      </c>
      <c r="BL201" s="253"/>
    </row>
    <row r="202" spans="1:64" ht="23.25">
      <c r="A202" s="269">
        <v>194</v>
      </c>
      <c r="B202" s="1437">
        <f t="shared" ref="B202:B209" si="6">IF($C$5=$G$5,F202,IF($C$5=$K$5,J202,IF($C$5=$O$5,N202,IF($C$5=$S$5,R202,IF($C$5=$W$5,V202,IF($C$5=$AA$5,Z202,IF($C$5=$AE$5,AD202,IF($C$5=$AI$5,AH202,IF($C$5=$AM$5,AL202,IF($C$5=$AQ$5,AP202,IF($C$5=$AU$5,AT202,IF($C$5=$AY$5,AX202,IF($C$5=$BC$5,BB202,IF($C$5=$BG$5,BF202,IF($C$5=$BK$5,BJ202,0)))))))))))))))</f>
        <v>262.55</v>
      </c>
      <c r="C202" s="1438">
        <f t="shared" ref="C202:C209" si="7">IF($C$5=$G$5,G202,IF($C$5=$K$5,K202,IF($C$5=$O$5,O202,IF($C$5=$S$5,S202,IF($C$5=$W$5,W202,IF($C$5=$AA$5,AA202,IF($C$5=$AE$5,AE202,IF($C$5=$AI$5,AI202,IF($C$5=$AM$5,AM202,IF($C$5=$AQ$5,AQ202,IF($C$5=$AU$5,AU202,IF($C$5=$AY$5,AY202,IF($C$5=$BC$5,BC202,IF($C$5=$BG$5,BG202,IF($C$5=$BK$5,BK202,0)))))))))))))))</f>
        <v>367.58</v>
      </c>
      <c r="D202" s="279"/>
      <c r="E202" s="1420">
        <v>194</v>
      </c>
      <c r="F202" s="1421">
        <v>242.61</v>
      </c>
      <c r="G202" s="1414">
        <v>339.65</v>
      </c>
      <c r="H202" s="1404"/>
      <c r="I202" s="1420">
        <v>194</v>
      </c>
      <c r="J202" s="1421">
        <v>247.6</v>
      </c>
      <c r="K202" s="1414">
        <v>346.64</v>
      </c>
      <c r="L202" s="279"/>
      <c r="M202" s="535">
        <v>194</v>
      </c>
      <c r="N202" s="569">
        <v>252.58</v>
      </c>
      <c r="O202" s="569">
        <v>353.62</v>
      </c>
      <c r="P202" s="253"/>
      <c r="Q202" s="535">
        <v>194</v>
      </c>
      <c r="R202" s="569">
        <v>257.57</v>
      </c>
      <c r="S202" s="569">
        <v>360.6</v>
      </c>
      <c r="T202" s="253"/>
      <c r="U202" s="535">
        <v>194</v>
      </c>
      <c r="V202" s="569">
        <v>262.55</v>
      </c>
      <c r="W202" s="569">
        <v>367.58</v>
      </c>
      <c r="X202" s="253"/>
      <c r="Y202" s="535">
        <v>194</v>
      </c>
      <c r="Z202" s="536">
        <v>267.54000000000002</v>
      </c>
      <c r="AA202" s="529">
        <v>374.56</v>
      </c>
      <c r="AB202" s="253"/>
      <c r="AC202" s="535">
        <v>194</v>
      </c>
      <c r="AD202" s="536">
        <v>272.52999999999997</v>
      </c>
      <c r="AE202" s="529">
        <v>381.54</v>
      </c>
      <c r="AF202" s="253"/>
      <c r="AG202" s="535">
        <v>194</v>
      </c>
      <c r="AH202" s="536">
        <v>277.51</v>
      </c>
      <c r="AI202" s="529">
        <v>388.52</v>
      </c>
      <c r="AJ202" s="253"/>
      <c r="AK202" s="535">
        <v>194</v>
      </c>
      <c r="AL202" s="536">
        <v>282.5</v>
      </c>
      <c r="AM202" s="529">
        <v>395.5</v>
      </c>
      <c r="AN202" s="253"/>
      <c r="AO202" s="535">
        <v>194</v>
      </c>
      <c r="AP202" s="536">
        <v>287.48</v>
      </c>
      <c r="AQ202" s="529">
        <v>402.48</v>
      </c>
      <c r="AR202" s="253"/>
      <c r="AS202" s="535">
        <v>194</v>
      </c>
      <c r="AT202" s="536">
        <v>292.47000000000003</v>
      </c>
      <c r="AU202" s="529">
        <v>409.46</v>
      </c>
      <c r="AV202" s="253"/>
      <c r="AW202" s="535">
        <v>194</v>
      </c>
      <c r="AX202" s="536">
        <v>297.45</v>
      </c>
      <c r="AY202" s="529">
        <v>416.44</v>
      </c>
      <c r="AZ202" s="253"/>
      <c r="BA202" s="535">
        <v>194</v>
      </c>
      <c r="BB202" s="536">
        <v>302.44</v>
      </c>
      <c r="BC202" s="529">
        <v>423.42</v>
      </c>
      <c r="BD202" s="253"/>
      <c r="BE202" s="535">
        <v>194</v>
      </c>
      <c r="BF202" s="536">
        <v>307.43</v>
      </c>
      <c r="BG202" s="529">
        <v>430.4</v>
      </c>
      <c r="BH202" s="253"/>
      <c r="BI202" s="535">
        <v>194</v>
      </c>
      <c r="BJ202" s="536">
        <v>312.41000000000003</v>
      </c>
      <c r="BK202" s="529">
        <v>437.38</v>
      </c>
      <c r="BL202" s="253"/>
    </row>
    <row r="203" spans="1:64" ht="23.25">
      <c r="A203" s="269">
        <v>195</v>
      </c>
      <c r="B203" s="1437">
        <f t="shared" si="6"/>
        <v>263.79000000000002</v>
      </c>
      <c r="C203" s="1438">
        <f t="shared" si="7"/>
        <v>369.31</v>
      </c>
      <c r="D203" s="279"/>
      <c r="E203" s="1420">
        <v>195</v>
      </c>
      <c r="F203" s="1421">
        <v>243.74</v>
      </c>
      <c r="G203" s="1414">
        <v>341.24</v>
      </c>
      <c r="H203" s="1404"/>
      <c r="I203" s="1420">
        <v>195</v>
      </c>
      <c r="J203" s="1421">
        <v>248.76</v>
      </c>
      <c r="K203" s="1414">
        <v>348.26</v>
      </c>
      <c r="L203" s="279"/>
      <c r="M203" s="535">
        <v>195</v>
      </c>
      <c r="N203" s="569">
        <v>253.77</v>
      </c>
      <c r="O203" s="569">
        <v>355.27</v>
      </c>
      <c r="P203" s="253"/>
      <c r="Q203" s="535">
        <v>195</v>
      </c>
      <c r="R203" s="569">
        <v>258.77999999999997</v>
      </c>
      <c r="S203" s="569">
        <v>362.29</v>
      </c>
      <c r="T203" s="253"/>
      <c r="U203" s="535">
        <v>195</v>
      </c>
      <c r="V203" s="569">
        <v>263.79000000000002</v>
      </c>
      <c r="W203" s="569">
        <v>369.31</v>
      </c>
      <c r="X203" s="253"/>
      <c r="Y203" s="535">
        <v>195</v>
      </c>
      <c r="Z203" s="536">
        <v>268.8</v>
      </c>
      <c r="AA203" s="529">
        <v>376.32</v>
      </c>
      <c r="AB203" s="253"/>
      <c r="AC203" s="535">
        <v>195</v>
      </c>
      <c r="AD203" s="536">
        <v>273.81</v>
      </c>
      <c r="AE203" s="529">
        <v>383.34</v>
      </c>
      <c r="AF203" s="253"/>
      <c r="AG203" s="535">
        <v>195</v>
      </c>
      <c r="AH203" s="536">
        <v>278.82</v>
      </c>
      <c r="AI203" s="529">
        <v>390.35</v>
      </c>
      <c r="AJ203" s="253"/>
      <c r="AK203" s="535">
        <v>195</v>
      </c>
      <c r="AL203" s="536">
        <v>283.83999999999997</v>
      </c>
      <c r="AM203" s="529">
        <v>397.37</v>
      </c>
      <c r="AN203" s="253"/>
      <c r="AO203" s="535">
        <v>195</v>
      </c>
      <c r="AP203" s="536">
        <v>288.85000000000002</v>
      </c>
      <c r="AQ203" s="529">
        <v>404.39</v>
      </c>
      <c r="AR203" s="253"/>
      <c r="AS203" s="535">
        <v>195</v>
      </c>
      <c r="AT203" s="536">
        <v>293.86</v>
      </c>
      <c r="AU203" s="529">
        <v>411.4</v>
      </c>
      <c r="AV203" s="253"/>
      <c r="AW203" s="535">
        <v>195</v>
      </c>
      <c r="AX203" s="536">
        <v>298.87</v>
      </c>
      <c r="AY203" s="529">
        <v>418.42</v>
      </c>
      <c r="AZ203" s="253"/>
      <c r="BA203" s="535">
        <v>195</v>
      </c>
      <c r="BB203" s="536">
        <v>303.88</v>
      </c>
      <c r="BC203" s="529">
        <v>425.43</v>
      </c>
      <c r="BD203" s="253"/>
      <c r="BE203" s="535">
        <v>195</v>
      </c>
      <c r="BF203" s="536">
        <v>308.89</v>
      </c>
      <c r="BG203" s="529">
        <v>432.45</v>
      </c>
      <c r="BH203" s="253"/>
      <c r="BI203" s="535">
        <v>195</v>
      </c>
      <c r="BJ203" s="536">
        <v>313.91000000000003</v>
      </c>
      <c r="BK203" s="529">
        <v>439.47</v>
      </c>
      <c r="BL203" s="253"/>
    </row>
    <row r="204" spans="1:64" ht="23.25">
      <c r="A204" s="269">
        <v>196</v>
      </c>
      <c r="B204" s="1437">
        <f t="shared" si="6"/>
        <v>265.19</v>
      </c>
      <c r="C204" s="1438">
        <f t="shared" si="7"/>
        <v>371.27</v>
      </c>
      <c r="D204" s="279"/>
      <c r="E204" s="1420">
        <v>196</v>
      </c>
      <c r="F204" s="1421">
        <v>245.04</v>
      </c>
      <c r="G204" s="1414">
        <v>343.06</v>
      </c>
      <c r="H204" s="1404"/>
      <c r="I204" s="1420">
        <v>196</v>
      </c>
      <c r="J204" s="1421">
        <v>250.08</v>
      </c>
      <c r="K204" s="1414">
        <v>350.11</v>
      </c>
      <c r="L204" s="279"/>
      <c r="M204" s="535">
        <v>196</v>
      </c>
      <c r="N204" s="569">
        <v>255.12</v>
      </c>
      <c r="O204" s="569">
        <v>357.17</v>
      </c>
      <c r="P204" s="253"/>
      <c r="Q204" s="535">
        <v>196</v>
      </c>
      <c r="R204" s="569">
        <v>260.16000000000003</v>
      </c>
      <c r="S204" s="569">
        <v>364.22</v>
      </c>
      <c r="T204" s="253"/>
      <c r="U204" s="535">
        <v>196</v>
      </c>
      <c r="V204" s="569">
        <v>265.19</v>
      </c>
      <c r="W204" s="569">
        <v>371.27</v>
      </c>
      <c r="X204" s="253"/>
      <c r="Y204" s="535">
        <v>196</v>
      </c>
      <c r="Z204" s="536">
        <v>270.23</v>
      </c>
      <c r="AA204" s="529">
        <v>378.32</v>
      </c>
      <c r="AB204" s="253"/>
      <c r="AC204" s="535">
        <v>196</v>
      </c>
      <c r="AD204" s="536">
        <v>275.27</v>
      </c>
      <c r="AE204" s="529">
        <v>385.37</v>
      </c>
      <c r="AF204" s="253"/>
      <c r="AG204" s="535">
        <v>196</v>
      </c>
      <c r="AH204" s="536">
        <v>280.31</v>
      </c>
      <c r="AI204" s="529">
        <v>392.43</v>
      </c>
      <c r="AJ204" s="253"/>
      <c r="AK204" s="535">
        <v>196</v>
      </c>
      <c r="AL204" s="536">
        <v>285.33999999999997</v>
      </c>
      <c r="AM204" s="529">
        <v>399.48</v>
      </c>
      <c r="AN204" s="253"/>
      <c r="AO204" s="535">
        <v>196</v>
      </c>
      <c r="AP204" s="536">
        <v>290.38</v>
      </c>
      <c r="AQ204" s="529">
        <v>406.53</v>
      </c>
      <c r="AR204" s="253"/>
      <c r="AS204" s="535">
        <v>196</v>
      </c>
      <c r="AT204" s="536">
        <v>295.42</v>
      </c>
      <c r="AU204" s="529">
        <v>413.58</v>
      </c>
      <c r="AV204" s="253"/>
      <c r="AW204" s="535">
        <v>196</v>
      </c>
      <c r="AX204" s="536">
        <v>300.45</v>
      </c>
      <c r="AY204" s="529">
        <v>420.64</v>
      </c>
      <c r="AZ204" s="253"/>
      <c r="BA204" s="535">
        <v>196</v>
      </c>
      <c r="BB204" s="536">
        <v>305.49</v>
      </c>
      <c r="BC204" s="529">
        <v>427.69</v>
      </c>
      <c r="BD204" s="253"/>
      <c r="BE204" s="535">
        <v>196</v>
      </c>
      <c r="BF204" s="536">
        <v>310.52999999999997</v>
      </c>
      <c r="BG204" s="529">
        <v>434.74</v>
      </c>
      <c r="BH204" s="253"/>
      <c r="BI204" s="535">
        <v>196</v>
      </c>
      <c r="BJ204" s="536">
        <v>315.57</v>
      </c>
      <c r="BK204" s="529">
        <v>441.79</v>
      </c>
      <c r="BL204" s="253"/>
    </row>
    <row r="205" spans="1:64" ht="23.25">
      <c r="A205" s="269">
        <v>197</v>
      </c>
      <c r="B205" s="1437">
        <f t="shared" si="6"/>
        <v>266.60000000000002</v>
      </c>
      <c r="C205" s="1438">
        <f t="shared" si="7"/>
        <v>373.24</v>
      </c>
      <c r="D205" s="279"/>
      <c r="E205" s="1420">
        <v>197</v>
      </c>
      <c r="F205" s="1421">
        <v>246.35</v>
      </c>
      <c r="G205" s="1414">
        <v>344.89</v>
      </c>
      <c r="H205" s="1404"/>
      <c r="I205" s="1420">
        <v>197</v>
      </c>
      <c r="J205" s="1421">
        <v>251.41</v>
      </c>
      <c r="K205" s="1414">
        <v>351.97</v>
      </c>
      <c r="L205" s="279"/>
      <c r="M205" s="535">
        <v>197</v>
      </c>
      <c r="N205" s="569">
        <v>256.47000000000003</v>
      </c>
      <c r="O205" s="569">
        <v>359.06</v>
      </c>
      <c r="P205" s="253"/>
      <c r="Q205" s="535">
        <v>197</v>
      </c>
      <c r="R205" s="569">
        <v>261.54000000000002</v>
      </c>
      <c r="S205" s="569">
        <v>366.15</v>
      </c>
      <c r="T205" s="253"/>
      <c r="U205" s="535">
        <v>197</v>
      </c>
      <c r="V205" s="569">
        <v>266.60000000000002</v>
      </c>
      <c r="W205" s="569">
        <v>373.24</v>
      </c>
      <c r="X205" s="253"/>
      <c r="Y205" s="535">
        <v>197</v>
      </c>
      <c r="Z205" s="536">
        <v>271.66000000000003</v>
      </c>
      <c r="AA205" s="529">
        <v>380.33</v>
      </c>
      <c r="AB205" s="253"/>
      <c r="AC205" s="535">
        <v>197</v>
      </c>
      <c r="AD205" s="536">
        <v>276.73</v>
      </c>
      <c r="AE205" s="529">
        <v>387.42</v>
      </c>
      <c r="AF205" s="253"/>
      <c r="AG205" s="535">
        <v>197</v>
      </c>
      <c r="AH205" s="536">
        <v>281.79000000000002</v>
      </c>
      <c r="AI205" s="529">
        <v>394.5</v>
      </c>
      <c r="AJ205" s="253"/>
      <c r="AK205" s="535">
        <v>197</v>
      </c>
      <c r="AL205" s="536">
        <v>286.85000000000002</v>
      </c>
      <c r="AM205" s="529">
        <v>401.59</v>
      </c>
      <c r="AN205" s="253"/>
      <c r="AO205" s="535">
        <v>197</v>
      </c>
      <c r="AP205" s="536">
        <v>291.91000000000003</v>
      </c>
      <c r="AQ205" s="529">
        <v>408.68</v>
      </c>
      <c r="AR205" s="253"/>
      <c r="AS205" s="535">
        <v>197</v>
      </c>
      <c r="AT205" s="536">
        <v>296.98</v>
      </c>
      <c r="AU205" s="529">
        <v>415.77</v>
      </c>
      <c r="AV205" s="253"/>
      <c r="AW205" s="535">
        <v>197</v>
      </c>
      <c r="AX205" s="536">
        <v>302.04000000000002</v>
      </c>
      <c r="AY205" s="529">
        <v>422.86</v>
      </c>
      <c r="AZ205" s="253"/>
      <c r="BA205" s="535">
        <v>197</v>
      </c>
      <c r="BB205" s="536">
        <v>307.10000000000002</v>
      </c>
      <c r="BC205" s="529">
        <v>429.94</v>
      </c>
      <c r="BD205" s="253"/>
      <c r="BE205" s="535">
        <v>197</v>
      </c>
      <c r="BF205" s="536">
        <v>312.17</v>
      </c>
      <c r="BG205" s="529">
        <v>437.03</v>
      </c>
      <c r="BH205" s="253"/>
      <c r="BI205" s="535">
        <v>197</v>
      </c>
      <c r="BJ205" s="536">
        <v>317.23</v>
      </c>
      <c r="BK205" s="529">
        <v>444.12</v>
      </c>
      <c r="BL205" s="253"/>
    </row>
    <row r="206" spans="1:64" ht="23.25">
      <c r="A206" s="269">
        <v>198</v>
      </c>
      <c r="B206" s="1437">
        <f t="shared" si="6"/>
        <v>267.83999999999997</v>
      </c>
      <c r="C206" s="1438">
        <f t="shared" si="7"/>
        <v>374.97</v>
      </c>
      <c r="D206" s="279"/>
      <c r="E206" s="1420">
        <v>198</v>
      </c>
      <c r="F206" s="1421">
        <v>247.48</v>
      </c>
      <c r="G206" s="1414">
        <v>346.47</v>
      </c>
      <c r="H206" s="1404"/>
      <c r="I206" s="1420">
        <v>198</v>
      </c>
      <c r="J206" s="1421">
        <v>252.57</v>
      </c>
      <c r="K206" s="1414">
        <v>353.6</v>
      </c>
      <c r="L206" s="279"/>
      <c r="M206" s="535">
        <v>198</v>
      </c>
      <c r="N206" s="569">
        <v>257.66000000000003</v>
      </c>
      <c r="O206" s="569">
        <v>360.72</v>
      </c>
      <c r="P206" s="253"/>
      <c r="Q206" s="535">
        <v>198</v>
      </c>
      <c r="R206" s="569">
        <v>262.75</v>
      </c>
      <c r="S206" s="569">
        <v>367.85</v>
      </c>
      <c r="T206" s="253"/>
      <c r="U206" s="535">
        <v>198</v>
      </c>
      <c r="V206" s="569">
        <v>267.83999999999997</v>
      </c>
      <c r="W206" s="569">
        <v>374.97</v>
      </c>
      <c r="X206" s="253"/>
      <c r="Y206" s="535">
        <v>198</v>
      </c>
      <c r="Z206" s="536">
        <v>272.92</v>
      </c>
      <c r="AA206" s="529">
        <v>382.09</v>
      </c>
      <c r="AB206" s="253"/>
      <c r="AC206" s="535">
        <v>198</v>
      </c>
      <c r="AD206" s="536">
        <v>278.01</v>
      </c>
      <c r="AE206" s="529">
        <v>389.22</v>
      </c>
      <c r="AF206" s="253"/>
      <c r="AG206" s="535">
        <v>198</v>
      </c>
      <c r="AH206" s="536">
        <v>283.10000000000002</v>
      </c>
      <c r="AI206" s="529">
        <v>396.34</v>
      </c>
      <c r="AJ206" s="253"/>
      <c r="AK206" s="535">
        <v>198</v>
      </c>
      <c r="AL206" s="536">
        <v>288.19</v>
      </c>
      <c r="AM206" s="529">
        <v>403.47</v>
      </c>
      <c r="AN206" s="253"/>
      <c r="AO206" s="535">
        <v>198</v>
      </c>
      <c r="AP206" s="536">
        <v>293.27999999999997</v>
      </c>
      <c r="AQ206" s="529">
        <v>410.59</v>
      </c>
      <c r="AR206" s="253"/>
      <c r="AS206" s="535">
        <v>198</v>
      </c>
      <c r="AT206" s="536">
        <v>298.37</v>
      </c>
      <c r="AU206" s="529">
        <v>417.71</v>
      </c>
      <c r="AV206" s="253"/>
      <c r="AW206" s="535">
        <v>198</v>
      </c>
      <c r="AX206" s="536">
        <v>303.45999999999998</v>
      </c>
      <c r="AY206" s="529">
        <v>424.84</v>
      </c>
      <c r="AZ206" s="253"/>
      <c r="BA206" s="535">
        <v>198</v>
      </c>
      <c r="BB206" s="536">
        <v>308.54000000000002</v>
      </c>
      <c r="BC206" s="529">
        <v>431.96</v>
      </c>
      <c r="BD206" s="253"/>
      <c r="BE206" s="535">
        <v>198</v>
      </c>
      <c r="BF206" s="536">
        <v>313.63</v>
      </c>
      <c r="BG206" s="529">
        <v>439.09</v>
      </c>
      <c r="BH206" s="253"/>
      <c r="BI206" s="535">
        <v>198</v>
      </c>
      <c r="BJ206" s="536">
        <v>318.72000000000003</v>
      </c>
      <c r="BK206" s="529">
        <v>446.21</v>
      </c>
      <c r="BL206" s="253"/>
    </row>
    <row r="207" spans="1:64" ht="23.25">
      <c r="A207" s="269">
        <v>199</v>
      </c>
      <c r="B207" s="1437">
        <f t="shared" si="6"/>
        <v>269.24</v>
      </c>
      <c r="C207" s="1438">
        <f t="shared" si="7"/>
        <v>376.94</v>
      </c>
      <c r="D207" s="279"/>
      <c r="E207" s="1420">
        <v>199</v>
      </c>
      <c r="F207" s="1421">
        <v>248.79</v>
      </c>
      <c r="G207" s="1414">
        <v>348.3</v>
      </c>
      <c r="H207" s="1404"/>
      <c r="I207" s="1420">
        <v>199</v>
      </c>
      <c r="J207" s="1421">
        <v>253.9</v>
      </c>
      <c r="K207" s="1414">
        <v>355.46</v>
      </c>
      <c r="L207" s="279"/>
      <c r="M207" s="535">
        <v>199</v>
      </c>
      <c r="N207" s="569">
        <v>259.02</v>
      </c>
      <c r="O207" s="569">
        <v>362.62</v>
      </c>
      <c r="P207" s="253"/>
      <c r="Q207" s="535">
        <v>199</v>
      </c>
      <c r="R207" s="569">
        <v>264.13</v>
      </c>
      <c r="S207" s="569">
        <v>369.78</v>
      </c>
      <c r="T207" s="253"/>
      <c r="U207" s="535">
        <v>199</v>
      </c>
      <c r="V207" s="569">
        <v>269.24</v>
      </c>
      <c r="W207" s="569">
        <v>376.94</v>
      </c>
      <c r="X207" s="253"/>
      <c r="Y207" s="535">
        <v>199</v>
      </c>
      <c r="Z207" s="536">
        <v>274.36</v>
      </c>
      <c r="AA207" s="529">
        <v>384.1</v>
      </c>
      <c r="AB207" s="253"/>
      <c r="AC207" s="535">
        <v>199</v>
      </c>
      <c r="AD207" s="536">
        <v>279.47000000000003</v>
      </c>
      <c r="AE207" s="529">
        <v>391.26</v>
      </c>
      <c r="AF207" s="253"/>
      <c r="AG207" s="535">
        <v>199</v>
      </c>
      <c r="AH207" s="536">
        <v>284.58999999999997</v>
      </c>
      <c r="AI207" s="529">
        <v>398.42</v>
      </c>
      <c r="AJ207" s="253"/>
      <c r="AK207" s="535">
        <v>199</v>
      </c>
      <c r="AL207" s="536">
        <v>289.7</v>
      </c>
      <c r="AM207" s="529">
        <v>405.58</v>
      </c>
      <c r="AN207" s="253"/>
      <c r="AO207" s="535">
        <v>199</v>
      </c>
      <c r="AP207" s="536">
        <v>294.82</v>
      </c>
      <c r="AQ207" s="529">
        <v>412.74</v>
      </c>
      <c r="AR207" s="253"/>
      <c r="AS207" s="535">
        <v>199</v>
      </c>
      <c r="AT207" s="536">
        <v>299.93</v>
      </c>
      <c r="AU207" s="529">
        <v>419.9</v>
      </c>
      <c r="AV207" s="253"/>
      <c r="AW207" s="535">
        <v>199</v>
      </c>
      <c r="AX207" s="536">
        <v>305.04000000000002</v>
      </c>
      <c r="AY207" s="529">
        <v>427.06</v>
      </c>
      <c r="AZ207" s="253"/>
      <c r="BA207" s="535">
        <v>199</v>
      </c>
      <c r="BB207" s="536">
        <v>310.16000000000003</v>
      </c>
      <c r="BC207" s="529">
        <v>434.22</v>
      </c>
      <c r="BD207" s="253"/>
      <c r="BE207" s="535">
        <v>199</v>
      </c>
      <c r="BF207" s="536">
        <v>315.27</v>
      </c>
      <c r="BG207" s="529">
        <v>441.38</v>
      </c>
      <c r="BH207" s="253"/>
      <c r="BI207" s="535">
        <v>199</v>
      </c>
      <c r="BJ207" s="536">
        <v>320.39</v>
      </c>
      <c r="BK207" s="529">
        <v>448.54</v>
      </c>
      <c r="BL207" s="253"/>
    </row>
    <row r="208" spans="1:64" ht="23.25">
      <c r="A208" s="269">
        <v>200</v>
      </c>
      <c r="B208" s="1437">
        <f t="shared" si="6"/>
        <v>270.64999999999998</v>
      </c>
      <c r="C208" s="1438">
        <f t="shared" si="7"/>
        <v>378.92</v>
      </c>
      <c r="D208" s="279"/>
      <c r="E208" s="1420">
        <v>200</v>
      </c>
      <c r="F208" s="1421">
        <v>250.09</v>
      </c>
      <c r="G208" s="1414">
        <v>350.13</v>
      </c>
      <c r="H208" s="1404"/>
      <c r="I208" s="1420">
        <v>200</v>
      </c>
      <c r="J208" s="1421">
        <v>255.23</v>
      </c>
      <c r="K208" s="1414">
        <v>357.33</v>
      </c>
      <c r="L208" s="279"/>
      <c r="M208" s="535">
        <v>200</v>
      </c>
      <c r="N208" s="569">
        <v>260.37</v>
      </c>
      <c r="O208" s="569">
        <v>364.52</v>
      </c>
      <c r="P208" s="253"/>
      <c r="Q208" s="535">
        <v>200</v>
      </c>
      <c r="R208" s="569">
        <v>265.51</v>
      </c>
      <c r="S208" s="569">
        <v>371.72</v>
      </c>
      <c r="T208" s="253"/>
      <c r="U208" s="535">
        <v>200</v>
      </c>
      <c r="V208" s="569">
        <v>270.64999999999998</v>
      </c>
      <c r="W208" s="569">
        <v>378.92</v>
      </c>
      <c r="X208" s="253"/>
      <c r="Y208" s="535">
        <v>200</v>
      </c>
      <c r="Z208" s="536">
        <v>275.79000000000002</v>
      </c>
      <c r="AA208" s="529">
        <v>386.11</v>
      </c>
      <c r="AB208" s="253"/>
      <c r="AC208" s="535">
        <v>200</v>
      </c>
      <c r="AD208" s="536">
        <v>280.93</v>
      </c>
      <c r="AE208" s="529">
        <v>393.31</v>
      </c>
      <c r="AF208" s="253"/>
      <c r="AG208" s="535">
        <v>200</v>
      </c>
      <c r="AH208" s="536">
        <v>286.07</v>
      </c>
      <c r="AI208" s="529">
        <v>400.5</v>
      </c>
      <c r="AJ208" s="253"/>
      <c r="AK208" s="535">
        <v>200</v>
      </c>
      <c r="AL208" s="536">
        <v>291.20999999999998</v>
      </c>
      <c r="AM208" s="529">
        <v>407.7</v>
      </c>
      <c r="AN208" s="253"/>
      <c r="AO208" s="535">
        <v>200</v>
      </c>
      <c r="AP208" s="536">
        <v>296.35000000000002</v>
      </c>
      <c r="AQ208" s="529">
        <v>414.9</v>
      </c>
      <c r="AR208" s="253"/>
      <c r="AS208" s="535">
        <v>200</v>
      </c>
      <c r="AT208" s="536">
        <v>301.49</v>
      </c>
      <c r="AU208" s="529">
        <v>422.09</v>
      </c>
      <c r="AV208" s="253"/>
      <c r="AW208" s="535">
        <v>200</v>
      </c>
      <c r="AX208" s="536">
        <v>306.63</v>
      </c>
      <c r="AY208" s="529">
        <v>429.29</v>
      </c>
      <c r="AZ208" s="253"/>
      <c r="BA208" s="535">
        <v>200</v>
      </c>
      <c r="BB208" s="536">
        <v>311.77</v>
      </c>
      <c r="BC208" s="529">
        <v>436.48</v>
      </c>
      <c r="BD208" s="253"/>
      <c r="BE208" s="535">
        <v>200</v>
      </c>
      <c r="BF208" s="536">
        <v>316.91000000000003</v>
      </c>
      <c r="BG208" s="529">
        <v>443.68</v>
      </c>
      <c r="BH208" s="253"/>
      <c r="BI208" s="535">
        <v>200</v>
      </c>
      <c r="BJ208" s="536">
        <v>322.05</v>
      </c>
      <c r="BK208" s="529">
        <v>450.88</v>
      </c>
      <c r="BL208" s="253"/>
    </row>
    <row r="209" spans="1:64" ht="23.25">
      <c r="A209" s="282">
        <v>201</v>
      </c>
      <c r="B209" s="1436">
        <f t="shared" si="6"/>
        <v>1.35</v>
      </c>
      <c r="C209" s="1435">
        <f t="shared" si="7"/>
        <v>1.89</v>
      </c>
      <c r="D209" s="279"/>
      <c r="E209" s="1424" t="s">
        <v>475</v>
      </c>
      <c r="F209" s="1425">
        <v>1.25</v>
      </c>
      <c r="G209" s="1426">
        <v>1.75</v>
      </c>
      <c r="H209" s="1404"/>
      <c r="I209" s="1424" t="s">
        <v>475</v>
      </c>
      <c r="J209" s="1425">
        <v>1.28</v>
      </c>
      <c r="K209" s="1426">
        <v>1.79</v>
      </c>
      <c r="L209" s="279"/>
      <c r="M209" s="539" t="s">
        <v>475</v>
      </c>
      <c r="N209" s="572">
        <v>1.3</v>
      </c>
      <c r="O209" s="573">
        <v>1.82</v>
      </c>
      <c r="P209" s="253"/>
      <c r="Q209" s="539" t="s">
        <v>475</v>
      </c>
      <c r="R209" s="572">
        <v>1.33</v>
      </c>
      <c r="S209" s="573">
        <v>1.86</v>
      </c>
      <c r="T209" s="253"/>
      <c r="U209" s="539" t="s">
        <v>475</v>
      </c>
      <c r="V209" s="572">
        <v>1.35</v>
      </c>
      <c r="W209" s="573">
        <v>1.89</v>
      </c>
      <c r="X209" s="253"/>
      <c r="Y209" s="539" t="s">
        <v>475</v>
      </c>
      <c r="Z209" s="540">
        <v>1.38</v>
      </c>
      <c r="AA209" s="541">
        <v>1.93</v>
      </c>
      <c r="AB209" s="253"/>
      <c r="AC209" s="539" t="s">
        <v>475</v>
      </c>
      <c r="AD209" s="540">
        <v>1.41</v>
      </c>
      <c r="AE209" s="541">
        <v>1.97</v>
      </c>
      <c r="AF209" s="253"/>
      <c r="AG209" s="539" t="s">
        <v>475</v>
      </c>
      <c r="AH209" s="540">
        <v>1.43</v>
      </c>
      <c r="AI209" s="541">
        <v>2</v>
      </c>
      <c r="AJ209" s="253"/>
      <c r="AK209" s="539" t="s">
        <v>475</v>
      </c>
      <c r="AL209" s="540">
        <v>1.46</v>
      </c>
      <c r="AM209" s="541">
        <v>2.04</v>
      </c>
      <c r="AN209" s="253"/>
      <c r="AO209" s="539" t="s">
        <v>475</v>
      </c>
      <c r="AP209" s="540">
        <v>1.48</v>
      </c>
      <c r="AQ209" s="541">
        <v>2.0699999999999998</v>
      </c>
      <c r="AR209" s="253"/>
      <c r="AS209" s="539" t="s">
        <v>475</v>
      </c>
      <c r="AT209" s="540">
        <v>1.51</v>
      </c>
      <c r="AU209" s="541">
        <v>2.11</v>
      </c>
      <c r="AV209" s="253"/>
      <c r="AW209" s="539" t="s">
        <v>475</v>
      </c>
      <c r="AX209" s="540">
        <v>1.54</v>
      </c>
      <c r="AY209" s="541">
        <v>2.15</v>
      </c>
      <c r="AZ209" s="253"/>
      <c r="BA209" s="539" t="s">
        <v>475</v>
      </c>
      <c r="BB209" s="540">
        <v>1.56</v>
      </c>
      <c r="BC209" s="541">
        <v>2.1800000000000002</v>
      </c>
      <c r="BD209" s="253"/>
      <c r="BE209" s="539" t="s">
        <v>475</v>
      </c>
      <c r="BF209" s="540">
        <v>1.59</v>
      </c>
      <c r="BG209" s="541">
        <v>2.2200000000000002</v>
      </c>
      <c r="BH209" s="253"/>
      <c r="BI209" s="539" t="s">
        <v>475</v>
      </c>
      <c r="BJ209" s="540">
        <v>1.61</v>
      </c>
      <c r="BK209" s="541">
        <v>2.25</v>
      </c>
      <c r="BL209" s="253"/>
    </row>
    <row r="210" spans="1:64" ht="23.25">
      <c r="A210" s="269">
        <v>1000</v>
      </c>
      <c r="B210" s="274" t="s">
        <v>476</v>
      </c>
      <c r="C210" s="275" t="s">
        <v>476</v>
      </c>
      <c r="D210" s="279"/>
      <c r="E210" s="1427">
        <v>1000</v>
      </c>
      <c r="F210" s="1428" t="s">
        <v>476</v>
      </c>
      <c r="G210" s="1429" t="s">
        <v>476</v>
      </c>
      <c r="H210" s="1404"/>
      <c r="I210" s="1427">
        <v>1000</v>
      </c>
      <c r="J210" s="1428" t="s">
        <v>476</v>
      </c>
      <c r="K210" s="1429" t="s">
        <v>476</v>
      </c>
      <c r="L210" s="279"/>
      <c r="M210" s="542">
        <v>1000</v>
      </c>
      <c r="N210" s="543" t="s">
        <v>476</v>
      </c>
      <c r="O210" s="544" t="s">
        <v>476</v>
      </c>
      <c r="P210" s="253"/>
      <c r="Q210" s="542">
        <v>1000</v>
      </c>
      <c r="R210" s="543" t="s">
        <v>476</v>
      </c>
      <c r="S210" s="544" t="s">
        <v>476</v>
      </c>
      <c r="T210" s="253"/>
      <c r="U210" s="542">
        <v>1000</v>
      </c>
      <c r="V210" s="543" t="s">
        <v>476</v>
      </c>
      <c r="W210" s="544" t="s">
        <v>476</v>
      </c>
      <c r="X210" s="253"/>
      <c r="Y210" s="542">
        <v>1000</v>
      </c>
      <c r="Z210" s="543" t="s">
        <v>476</v>
      </c>
      <c r="AA210" s="544" t="s">
        <v>476</v>
      </c>
      <c r="AB210" s="253"/>
      <c r="AC210" s="542">
        <v>1000</v>
      </c>
      <c r="AD210" s="543" t="s">
        <v>476</v>
      </c>
      <c r="AE210" s="544" t="s">
        <v>476</v>
      </c>
      <c r="AF210" s="253"/>
      <c r="AG210" s="542">
        <v>1000</v>
      </c>
      <c r="AH210" s="543" t="s">
        <v>476</v>
      </c>
      <c r="AI210" s="544" t="s">
        <v>476</v>
      </c>
      <c r="AJ210" s="253"/>
      <c r="AK210" s="542">
        <v>1000</v>
      </c>
      <c r="AL210" s="543" t="s">
        <v>476</v>
      </c>
      <c r="AM210" s="544" t="s">
        <v>476</v>
      </c>
      <c r="AN210" s="253"/>
      <c r="AO210" s="542">
        <v>1000</v>
      </c>
      <c r="AP210" s="543" t="s">
        <v>476</v>
      </c>
      <c r="AQ210" s="544" t="s">
        <v>476</v>
      </c>
      <c r="AR210" s="253"/>
      <c r="AS210" s="542">
        <v>1000</v>
      </c>
      <c r="AT210" s="543" t="s">
        <v>476</v>
      </c>
      <c r="AU210" s="544" t="s">
        <v>476</v>
      </c>
      <c r="AV210" s="253"/>
      <c r="AW210" s="542">
        <v>1000</v>
      </c>
      <c r="AX210" s="543" t="s">
        <v>476</v>
      </c>
      <c r="AY210" s="544" t="s">
        <v>476</v>
      </c>
      <c r="AZ210" s="253"/>
      <c r="BA210" s="542">
        <v>1000</v>
      </c>
      <c r="BB210" s="543" t="s">
        <v>476</v>
      </c>
      <c r="BC210" s="544" t="s">
        <v>476</v>
      </c>
      <c r="BD210" s="253"/>
      <c r="BE210" s="542">
        <v>1000</v>
      </c>
      <c r="BF210" s="543" t="s">
        <v>476</v>
      </c>
      <c r="BG210" s="544" t="s">
        <v>476</v>
      </c>
      <c r="BH210" s="253"/>
      <c r="BI210" s="542">
        <v>1000</v>
      </c>
      <c r="BJ210" s="543" t="s">
        <v>476</v>
      </c>
      <c r="BK210" s="544" t="s">
        <v>476</v>
      </c>
      <c r="BL210" s="253"/>
    </row>
    <row r="211" spans="1:64" ht="23.25">
      <c r="A211" s="270" t="s">
        <v>477</v>
      </c>
      <c r="B211" s="271"/>
      <c r="C211" s="283"/>
      <c r="D211" s="279"/>
      <c r="E211" s="1430" t="s">
        <v>477</v>
      </c>
      <c r="F211" s="1431"/>
      <c r="G211" s="1432"/>
      <c r="H211" s="1404"/>
      <c r="I211" s="1430" t="s">
        <v>477</v>
      </c>
      <c r="J211" s="1431"/>
      <c r="K211" s="1432"/>
      <c r="L211" s="279"/>
      <c r="M211" s="545" t="s">
        <v>477</v>
      </c>
      <c r="N211" s="546"/>
      <c r="O211" s="547"/>
      <c r="P211" s="253"/>
      <c r="Q211" s="545" t="s">
        <v>477</v>
      </c>
      <c r="R211" s="546"/>
      <c r="S211" s="547"/>
      <c r="T211" s="253"/>
      <c r="U211" s="545" t="s">
        <v>477</v>
      </c>
      <c r="V211" s="546"/>
      <c r="W211" s="547"/>
      <c r="X211" s="253"/>
      <c r="Y211" s="545" t="s">
        <v>477</v>
      </c>
      <c r="Z211" s="546"/>
      <c r="AA211" s="547"/>
      <c r="AB211" s="253"/>
      <c r="AC211" s="545" t="s">
        <v>477</v>
      </c>
      <c r="AD211" s="546"/>
      <c r="AE211" s="547"/>
      <c r="AF211" s="253"/>
      <c r="AG211" s="545" t="s">
        <v>477</v>
      </c>
      <c r="AH211" s="546"/>
      <c r="AI211" s="547"/>
      <c r="AJ211" s="253"/>
      <c r="AK211" s="545" t="s">
        <v>477</v>
      </c>
      <c r="AL211" s="546"/>
      <c r="AM211" s="547"/>
      <c r="AN211" s="253"/>
      <c r="AO211" s="545" t="s">
        <v>477</v>
      </c>
      <c r="AP211" s="546"/>
      <c r="AQ211" s="547"/>
      <c r="AR211" s="253"/>
      <c r="AS211" s="545" t="s">
        <v>477</v>
      </c>
      <c r="AT211" s="546"/>
      <c r="AU211" s="547"/>
      <c r="AV211" s="253"/>
      <c r="AW211" s="545" t="s">
        <v>477</v>
      </c>
      <c r="AX211" s="546"/>
      <c r="AY211" s="547"/>
      <c r="AZ211" s="253"/>
      <c r="BA211" s="545" t="s">
        <v>477</v>
      </c>
      <c r="BB211" s="546"/>
      <c r="BC211" s="547"/>
      <c r="BD211" s="253"/>
      <c r="BE211" s="545" t="s">
        <v>477</v>
      </c>
      <c r="BF211" s="546"/>
      <c r="BG211" s="547"/>
      <c r="BH211" s="253"/>
      <c r="BI211" s="545" t="s">
        <v>477</v>
      </c>
      <c r="BJ211" s="546"/>
      <c r="BK211" s="547"/>
      <c r="BL211" s="253"/>
    </row>
    <row r="212" spans="1:64">
      <c r="A212" s="279"/>
      <c r="B212" s="279"/>
      <c r="C212" s="279"/>
      <c r="D212" s="279"/>
      <c r="E212" s="279"/>
      <c r="F212" s="279"/>
      <c r="G212" s="279"/>
      <c r="H212" s="279"/>
      <c r="I212" s="279"/>
      <c r="J212" s="279"/>
      <c r="K212" s="279"/>
      <c r="L212" s="279"/>
      <c r="M212" s="279"/>
      <c r="N212" s="279"/>
      <c r="O212" s="279"/>
      <c r="P212" s="279"/>
      <c r="Q212" s="279"/>
      <c r="R212" s="279"/>
      <c r="S212" s="279"/>
      <c r="T212" s="279"/>
      <c r="U212" s="279"/>
      <c r="V212" s="279"/>
      <c r="W212" s="279"/>
      <c r="X212" s="279"/>
      <c r="Y212" s="279"/>
      <c r="Z212" s="279"/>
      <c r="AA212" s="279"/>
      <c r="AB212" s="279"/>
      <c r="AC212" s="279"/>
      <c r="AD212" s="279"/>
      <c r="AE212" s="279"/>
      <c r="AF212" s="279"/>
      <c r="AG212" s="279"/>
      <c r="AH212" s="279"/>
      <c r="AI212" s="279"/>
      <c r="AJ212" s="279"/>
      <c r="AK212" s="279"/>
      <c r="AL212" s="279"/>
      <c r="AM212" s="279"/>
      <c r="AN212" s="279"/>
      <c r="AO212" s="279"/>
      <c r="AP212" s="279"/>
      <c r="AQ212" s="279"/>
      <c r="AR212" s="279"/>
      <c r="AS212" s="279"/>
      <c r="AT212" s="279"/>
      <c r="AU212" s="279"/>
      <c r="AV212" s="279"/>
      <c r="AW212" s="279"/>
      <c r="AX212" s="279"/>
      <c r="AY212" s="279"/>
      <c r="AZ212" s="279"/>
      <c r="BA212" s="279"/>
      <c r="BB212" s="279"/>
      <c r="BC212" s="279"/>
      <c r="BD212" s="279"/>
      <c r="BE212" s="279"/>
      <c r="BF212" s="279"/>
      <c r="BG212" s="279"/>
      <c r="BH212" s="279"/>
      <c r="BI212" s="279"/>
      <c r="BJ212" s="279"/>
      <c r="BK212" s="279"/>
      <c r="BL212" s="279"/>
    </row>
    <row r="213" spans="1:64">
      <c r="A213" s="279"/>
      <c r="B213" s="279"/>
      <c r="C213" s="279"/>
      <c r="D213" s="279"/>
      <c r="E213" s="279"/>
      <c r="F213" s="279"/>
      <c r="G213" s="279"/>
      <c r="H213" s="279"/>
      <c r="I213" s="279"/>
      <c r="J213" s="279"/>
      <c r="K213" s="279"/>
      <c r="L213" s="279"/>
      <c r="M213" s="279"/>
      <c r="N213" s="279"/>
      <c r="O213" s="279"/>
      <c r="P213" s="279"/>
      <c r="Q213" s="279"/>
      <c r="R213" s="279"/>
      <c r="S213" s="279"/>
      <c r="T213" s="279"/>
      <c r="U213" s="279"/>
      <c r="V213" s="279"/>
      <c r="W213" s="279"/>
      <c r="X213" s="279"/>
      <c r="Y213" s="279"/>
      <c r="Z213" s="279"/>
      <c r="AA213" s="279"/>
      <c r="AB213" s="279"/>
      <c r="AC213" s="279"/>
      <c r="AD213" s="279"/>
      <c r="AE213" s="279"/>
      <c r="AF213" s="279"/>
      <c r="AG213" s="279"/>
      <c r="AH213" s="279"/>
      <c r="AI213" s="279"/>
      <c r="AJ213" s="279"/>
      <c r="AK213" s="279"/>
      <c r="AL213" s="279"/>
      <c r="AM213" s="279"/>
      <c r="AN213" s="279"/>
      <c r="AO213" s="279"/>
      <c r="AP213" s="279"/>
      <c r="AQ213" s="279"/>
      <c r="AR213" s="279"/>
      <c r="AS213" s="279"/>
      <c r="AT213" s="279"/>
      <c r="AU213" s="279"/>
      <c r="AV213" s="279"/>
      <c r="AW213" s="279"/>
      <c r="AX213" s="279"/>
      <c r="AY213" s="279"/>
      <c r="AZ213" s="279"/>
      <c r="BA213" s="279"/>
      <c r="BB213" s="279"/>
      <c r="BC213" s="279"/>
      <c r="BD213" s="279"/>
      <c r="BE213" s="279"/>
      <c r="BF213" s="279"/>
      <c r="BG213" s="279"/>
      <c r="BH213" s="279"/>
      <c r="BI213" s="279"/>
      <c r="BJ213" s="279"/>
      <c r="BK213" s="279"/>
      <c r="BL213" s="279"/>
    </row>
    <row r="214" spans="1:64">
      <c r="A214" s="279"/>
      <c r="B214" s="279"/>
      <c r="C214" s="279"/>
      <c r="D214" s="279"/>
      <c r="E214" s="279"/>
      <c r="F214" s="279"/>
      <c r="G214" s="279"/>
      <c r="H214" s="279"/>
      <c r="I214" s="279"/>
      <c r="J214" s="279"/>
      <c r="K214" s="279"/>
      <c r="L214" s="279"/>
      <c r="M214" s="279"/>
      <c r="N214" s="279"/>
      <c r="O214" s="279"/>
      <c r="P214" s="279"/>
      <c r="Q214" s="279"/>
      <c r="R214" s="279"/>
      <c r="S214" s="279"/>
      <c r="T214" s="279"/>
      <c r="U214" s="279"/>
      <c r="V214" s="279"/>
      <c r="W214" s="279"/>
      <c r="X214" s="279"/>
      <c r="Y214" s="279"/>
      <c r="Z214" s="279"/>
      <c r="AA214" s="279"/>
      <c r="AB214" s="279"/>
      <c r="AC214" s="279"/>
      <c r="AD214" s="279"/>
      <c r="AE214" s="279"/>
      <c r="AF214" s="279"/>
      <c r="AG214" s="279"/>
      <c r="AH214" s="279"/>
      <c r="AI214" s="279"/>
      <c r="AJ214" s="279"/>
      <c r="AK214" s="279"/>
      <c r="AL214" s="279"/>
      <c r="AM214" s="279"/>
      <c r="AN214" s="279"/>
      <c r="AO214" s="279"/>
      <c r="AP214" s="279"/>
      <c r="AQ214" s="279"/>
      <c r="AR214" s="279"/>
      <c r="AS214" s="279"/>
      <c r="AT214" s="279"/>
      <c r="AU214" s="279"/>
      <c r="AV214" s="279"/>
      <c r="AW214" s="279"/>
      <c r="AX214" s="279"/>
      <c r="AY214" s="279"/>
      <c r="AZ214" s="279"/>
      <c r="BA214" s="279"/>
      <c r="BB214" s="279"/>
      <c r="BC214" s="279"/>
      <c r="BD214" s="279"/>
      <c r="BE214" s="279"/>
      <c r="BF214" s="279"/>
      <c r="BG214" s="279"/>
      <c r="BH214" s="279"/>
      <c r="BI214" s="279"/>
      <c r="BJ214" s="279"/>
      <c r="BK214" s="279"/>
      <c r="BL214" s="279"/>
    </row>
    <row r="215" spans="1:64">
      <c r="A215" s="279"/>
      <c r="B215" s="279"/>
      <c r="C215" s="279"/>
      <c r="D215" s="279"/>
      <c r="E215" s="279"/>
      <c r="F215" s="279"/>
      <c r="G215" s="279"/>
      <c r="H215" s="279"/>
      <c r="I215" s="279"/>
      <c r="J215" s="279"/>
      <c r="K215" s="279"/>
      <c r="L215" s="279"/>
      <c r="M215" s="279"/>
      <c r="N215" s="279"/>
      <c r="O215" s="279"/>
      <c r="P215" s="279"/>
      <c r="Q215" s="279"/>
      <c r="R215" s="279"/>
      <c r="S215" s="279"/>
      <c r="T215" s="279"/>
      <c r="U215" s="279"/>
      <c r="V215" s="279"/>
      <c r="W215" s="279"/>
      <c r="X215" s="279"/>
      <c r="Y215" s="279"/>
      <c r="Z215" s="279"/>
      <c r="AA215" s="279"/>
      <c r="AB215" s="279"/>
      <c r="AC215" s="279"/>
      <c r="AD215" s="279"/>
      <c r="AE215" s="279"/>
      <c r="AF215" s="279"/>
      <c r="AG215" s="279"/>
      <c r="AH215" s="279"/>
      <c r="AI215" s="279"/>
      <c r="AJ215" s="279"/>
      <c r="AK215" s="279"/>
      <c r="AL215" s="279"/>
      <c r="AM215" s="279"/>
      <c r="AN215" s="279"/>
      <c r="AO215" s="279"/>
      <c r="AP215" s="279"/>
      <c r="AQ215" s="279"/>
      <c r="AR215" s="279"/>
      <c r="AS215" s="279"/>
      <c r="AT215" s="279"/>
      <c r="AU215" s="279"/>
      <c r="AV215" s="279"/>
      <c r="AW215" s="279"/>
      <c r="AX215" s="279"/>
      <c r="AY215" s="279"/>
      <c r="AZ215" s="279"/>
      <c r="BA215" s="279"/>
      <c r="BB215" s="279"/>
      <c r="BC215" s="279"/>
      <c r="BD215" s="279"/>
      <c r="BE215" s="279"/>
      <c r="BF215" s="279"/>
      <c r="BG215" s="279"/>
      <c r="BH215" s="279"/>
      <c r="BI215" s="279"/>
      <c r="BJ215" s="279"/>
      <c r="BK215" s="279"/>
      <c r="BL215" s="279"/>
    </row>
    <row r="216" spans="1:64">
      <c r="A216" s="279"/>
      <c r="B216" s="279"/>
      <c r="C216" s="279"/>
      <c r="D216" s="279"/>
      <c r="E216" s="279"/>
      <c r="F216" s="279"/>
      <c r="G216" s="279"/>
      <c r="H216" s="279"/>
      <c r="I216" s="279"/>
      <c r="J216" s="279"/>
      <c r="K216" s="279"/>
      <c r="L216" s="279"/>
      <c r="M216" s="279"/>
      <c r="N216" s="279"/>
      <c r="O216" s="279"/>
      <c r="P216" s="279"/>
      <c r="Q216" s="279"/>
      <c r="R216" s="279"/>
      <c r="S216" s="279"/>
      <c r="T216" s="279"/>
      <c r="U216" s="279"/>
      <c r="V216" s="279"/>
      <c r="W216" s="279"/>
      <c r="X216" s="279"/>
      <c r="Y216" s="279"/>
      <c r="Z216" s="279"/>
      <c r="AA216" s="279"/>
      <c r="AB216" s="279"/>
      <c r="AC216" s="279"/>
      <c r="AD216" s="279"/>
      <c r="AE216" s="279"/>
      <c r="AF216" s="279"/>
      <c r="AG216" s="279"/>
      <c r="AH216" s="279"/>
      <c r="AI216" s="279"/>
      <c r="AJ216" s="279"/>
      <c r="AK216" s="279"/>
      <c r="AL216" s="279"/>
      <c r="AM216" s="279"/>
      <c r="AN216" s="279"/>
      <c r="AO216" s="279"/>
      <c r="AP216" s="279"/>
      <c r="AQ216" s="279"/>
      <c r="AR216" s="279"/>
      <c r="AS216" s="279"/>
      <c r="AT216" s="279"/>
      <c r="AU216" s="279"/>
      <c r="AV216" s="279"/>
      <c r="AW216" s="279"/>
      <c r="AX216" s="279"/>
      <c r="AY216" s="279"/>
      <c r="AZ216" s="279"/>
      <c r="BA216" s="279"/>
      <c r="BB216" s="279"/>
      <c r="BC216" s="279"/>
      <c r="BD216" s="279"/>
      <c r="BE216" s="279"/>
      <c r="BF216" s="279"/>
      <c r="BG216" s="279"/>
      <c r="BH216" s="279"/>
      <c r="BI216" s="279"/>
      <c r="BJ216" s="279"/>
      <c r="BK216" s="279"/>
      <c r="BL216" s="279"/>
    </row>
    <row r="217" spans="1:64">
      <c r="A217" s="279"/>
      <c r="B217" s="279"/>
      <c r="C217" s="279"/>
      <c r="D217" s="279"/>
      <c r="E217" s="279"/>
      <c r="F217" s="279"/>
      <c r="G217" s="279"/>
      <c r="H217" s="279"/>
      <c r="I217" s="279"/>
      <c r="J217" s="279"/>
      <c r="K217" s="279"/>
      <c r="L217" s="279"/>
      <c r="M217" s="279"/>
      <c r="N217" s="279"/>
      <c r="O217" s="279"/>
      <c r="P217" s="279"/>
      <c r="Q217" s="279"/>
      <c r="R217" s="279"/>
      <c r="S217" s="279"/>
      <c r="T217" s="279"/>
      <c r="U217" s="279"/>
      <c r="V217" s="279"/>
      <c r="W217" s="279"/>
      <c r="X217" s="279"/>
      <c r="Y217" s="279"/>
      <c r="Z217" s="279"/>
      <c r="AA217" s="279"/>
      <c r="AB217" s="279"/>
      <c r="AC217" s="279"/>
      <c r="AD217" s="279"/>
      <c r="AE217" s="279"/>
      <c r="AF217" s="279"/>
      <c r="AG217" s="279"/>
      <c r="AH217" s="279"/>
      <c r="AI217" s="279"/>
      <c r="AJ217" s="279"/>
      <c r="AK217" s="279"/>
      <c r="AL217" s="279"/>
      <c r="AM217" s="279"/>
      <c r="AN217" s="279"/>
      <c r="AO217" s="279"/>
      <c r="AP217" s="279"/>
      <c r="AQ217" s="279"/>
      <c r="AR217" s="279"/>
      <c r="AS217" s="279"/>
      <c r="AT217" s="279"/>
      <c r="AU217" s="279"/>
      <c r="AV217" s="279"/>
      <c r="AW217" s="279"/>
      <c r="AX217" s="279"/>
      <c r="AY217" s="279"/>
      <c r="AZ217" s="279"/>
      <c r="BA217" s="279"/>
      <c r="BB217" s="279"/>
      <c r="BC217" s="279"/>
      <c r="BD217" s="279"/>
      <c r="BE217" s="279"/>
      <c r="BF217" s="279"/>
      <c r="BG217" s="279"/>
      <c r="BH217" s="279"/>
      <c r="BI217" s="279"/>
      <c r="BJ217" s="279"/>
      <c r="BK217" s="279"/>
      <c r="BL217" s="279"/>
    </row>
    <row r="218" spans="1:64">
      <c r="A218" s="279"/>
      <c r="B218" s="279"/>
      <c r="C218" s="279"/>
      <c r="D218" s="279"/>
      <c r="E218" s="279"/>
      <c r="F218" s="279"/>
      <c r="G218" s="279"/>
      <c r="H218" s="279"/>
      <c r="I218" s="279"/>
      <c r="J218" s="279"/>
      <c r="K218" s="279"/>
      <c r="L218" s="279"/>
      <c r="M218" s="279"/>
      <c r="N218" s="279"/>
      <c r="O218" s="279"/>
      <c r="P218" s="279"/>
      <c r="Q218" s="279"/>
      <c r="R218" s="279"/>
      <c r="S218" s="279"/>
      <c r="T218" s="279"/>
      <c r="U218" s="279"/>
      <c r="V218" s="279"/>
      <c r="W218" s="279"/>
      <c r="X218" s="279"/>
      <c r="Y218" s="279"/>
      <c r="Z218" s="279"/>
      <c r="AA218" s="279"/>
      <c r="AB218" s="279"/>
      <c r="AC218" s="279"/>
      <c r="AD218" s="279"/>
      <c r="AE218" s="279"/>
      <c r="AF218" s="279"/>
      <c r="AG218" s="279"/>
      <c r="AH218" s="279"/>
      <c r="AI218" s="279"/>
      <c r="AJ218" s="279"/>
      <c r="AK218" s="279"/>
      <c r="AL218" s="279"/>
      <c r="AM218" s="279"/>
      <c r="AN218" s="279"/>
      <c r="AO218" s="279"/>
      <c r="AP218" s="279"/>
      <c r="AQ218" s="279"/>
      <c r="AR218" s="279"/>
      <c r="AS218" s="279"/>
      <c r="AT218" s="279"/>
      <c r="AU218" s="279"/>
      <c r="AV218" s="279"/>
      <c r="AW218" s="279"/>
      <c r="AX218" s="279"/>
      <c r="AY218" s="279"/>
      <c r="AZ218" s="279"/>
      <c r="BA218" s="279"/>
      <c r="BB218" s="279"/>
      <c r="BC218" s="279"/>
      <c r="BD218" s="279"/>
      <c r="BE218" s="279"/>
      <c r="BF218" s="279"/>
      <c r="BG218" s="279"/>
      <c r="BH218" s="279"/>
      <c r="BI218" s="279"/>
      <c r="BJ218" s="279"/>
      <c r="BK218" s="279"/>
      <c r="BL218" s="279"/>
    </row>
    <row r="219" spans="1:64">
      <c r="A219" s="279"/>
      <c r="B219" s="279"/>
      <c r="C219" s="279"/>
      <c r="D219" s="279"/>
      <c r="E219" s="279"/>
      <c r="F219" s="279"/>
      <c r="G219" s="279"/>
      <c r="H219" s="279"/>
      <c r="I219" s="279"/>
      <c r="J219" s="279"/>
      <c r="K219" s="279"/>
      <c r="L219" s="279"/>
      <c r="M219" s="279"/>
      <c r="N219" s="279"/>
      <c r="O219" s="279"/>
      <c r="P219" s="279"/>
      <c r="Q219" s="279"/>
      <c r="R219" s="279"/>
      <c r="S219" s="279"/>
      <c r="T219" s="279"/>
      <c r="U219" s="279"/>
      <c r="V219" s="279"/>
      <c r="W219" s="279"/>
      <c r="X219" s="279"/>
      <c r="Y219" s="279"/>
      <c r="Z219" s="279"/>
      <c r="AA219" s="279"/>
      <c r="AB219" s="279"/>
      <c r="AC219" s="279"/>
      <c r="AD219" s="279"/>
      <c r="AE219" s="279"/>
      <c r="AF219" s="279"/>
      <c r="AG219" s="279"/>
      <c r="AH219" s="279"/>
      <c r="AI219" s="279"/>
      <c r="AJ219" s="279"/>
      <c r="AK219" s="279"/>
      <c r="AL219" s="279"/>
      <c r="AM219" s="279"/>
      <c r="AN219" s="279"/>
      <c r="AO219" s="279"/>
      <c r="AP219" s="279"/>
      <c r="AQ219" s="279"/>
      <c r="AR219" s="279"/>
      <c r="AS219" s="279"/>
      <c r="AT219" s="279"/>
      <c r="AU219" s="279"/>
      <c r="AV219" s="279"/>
      <c r="AW219" s="279"/>
      <c r="AX219" s="279"/>
      <c r="AY219" s="279"/>
      <c r="AZ219" s="279"/>
      <c r="BA219" s="279"/>
      <c r="BB219" s="279"/>
      <c r="BC219" s="279"/>
      <c r="BD219" s="279"/>
      <c r="BE219" s="279"/>
      <c r="BF219" s="279"/>
      <c r="BG219" s="279"/>
      <c r="BH219" s="279"/>
      <c r="BI219" s="279"/>
      <c r="BJ219" s="279"/>
      <c r="BK219" s="279"/>
      <c r="BL219" s="279"/>
    </row>
    <row r="220" spans="1:64">
      <c r="A220" s="279"/>
      <c r="B220" s="279"/>
      <c r="C220" s="279"/>
      <c r="D220" s="279"/>
      <c r="E220" s="279"/>
      <c r="F220" s="279"/>
      <c r="G220" s="279"/>
      <c r="H220" s="279"/>
      <c r="I220" s="279"/>
      <c r="J220" s="279"/>
      <c r="K220" s="279"/>
      <c r="L220" s="279"/>
      <c r="M220" s="279"/>
      <c r="N220" s="279"/>
      <c r="O220" s="279"/>
      <c r="P220" s="279"/>
      <c r="Q220" s="279"/>
      <c r="R220" s="279"/>
      <c r="S220" s="279"/>
      <c r="T220" s="279"/>
      <c r="U220" s="279"/>
      <c r="V220" s="279"/>
      <c r="W220" s="279"/>
      <c r="X220" s="279"/>
      <c r="Y220" s="279"/>
      <c r="Z220" s="279"/>
      <c r="AA220" s="279"/>
      <c r="AB220" s="279"/>
      <c r="AC220" s="279"/>
      <c r="AD220" s="279"/>
      <c r="AE220" s="279"/>
      <c r="AF220" s="279"/>
      <c r="AG220" s="279"/>
      <c r="AH220" s="279"/>
      <c r="AI220" s="279"/>
      <c r="AJ220" s="279"/>
      <c r="AK220" s="279"/>
      <c r="AL220" s="279"/>
      <c r="AM220" s="279"/>
      <c r="AN220" s="279"/>
      <c r="AO220" s="279"/>
      <c r="AP220" s="279"/>
      <c r="AQ220" s="279"/>
      <c r="AR220" s="279"/>
      <c r="AS220" s="279"/>
      <c r="AT220" s="279"/>
      <c r="AU220" s="279"/>
      <c r="AV220" s="279"/>
      <c r="AW220" s="279"/>
      <c r="AX220" s="279"/>
      <c r="AY220" s="279"/>
      <c r="AZ220" s="279"/>
      <c r="BA220" s="279"/>
      <c r="BB220" s="279"/>
      <c r="BC220" s="279"/>
      <c r="BD220" s="279"/>
      <c r="BE220" s="279"/>
      <c r="BF220" s="279"/>
      <c r="BG220" s="279"/>
      <c r="BH220" s="279"/>
      <c r="BI220" s="279"/>
      <c r="BJ220" s="279"/>
      <c r="BK220" s="279"/>
      <c r="BL220" s="279"/>
    </row>
    <row r="221" spans="1:64">
      <c r="A221" s="279"/>
      <c r="B221" s="279"/>
      <c r="C221" s="279"/>
      <c r="D221" s="279"/>
      <c r="E221" s="279"/>
      <c r="F221" s="279"/>
      <c r="G221" s="279"/>
      <c r="H221" s="279"/>
      <c r="I221" s="279"/>
      <c r="J221" s="279"/>
      <c r="K221" s="279"/>
      <c r="L221" s="279"/>
      <c r="M221" s="279"/>
      <c r="N221" s="279"/>
      <c r="O221" s="279"/>
      <c r="P221" s="279"/>
      <c r="Q221" s="279"/>
      <c r="R221" s="279"/>
      <c r="S221" s="279"/>
      <c r="T221" s="279"/>
      <c r="U221" s="279"/>
      <c r="V221" s="279"/>
      <c r="W221" s="279"/>
      <c r="X221" s="279"/>
      <c r="Y221" s="279"/>
      <c r="Z221" s="279"/>
      <c r="AA221" s="279"/>
      <c r="AB221" s="279"/>
      <c r="AC221" s="279"/>
      <c r="AD221" s="279"/>
      <c r="AE221" s="279"/>
      <c r="AF221" s="279"/>
      <c r="AG221" s="279"/>
      <c r="AH221" s="279"/>
      <c r="AI221" s="279"/>
      <c r="AJ221" s="279"/>
      <c r="AK221" s="279"/>
      <c r="AL221" s="279"/>
      <c r="AM221" s="279"/>
      <c r="AN221" s="279"/>
      <c r="AO221" s="279"/>
      <c r="AP221" s="279"/>
      <c r="AQ221" s="279"/>
      <c r="AR221" s="279"/>
      <c r="AS221" s="279"/>
      <c r="AT221" s="279"/>
      <c r="AU221" s="279"/>
      <c r="AV221" s="279"/>
      <c r="AW221" s="279"/>
      <c r="AX221" s="279"/>
      <c r="AY221" s="279"/>
      <c r="AZ221" s="279"/>
      <c r="BA221" s="279"/>
      <c r="BB221" s="279"/>
      <c r="BC221" s="279"/>
      <c r="BD221" s="279"/>
      <c r="BE221" s="279"/>
      <c r="BF221" s="279"/>
      <c r="BG221" s="279"/>
      <c r="BH221" s="279"/>
      <c r="BI221" s="279"/>
      <c r="BJ221" s="279"/>
      <c r="BK221" s="279"/>
      <c r="BL221" s="279"/>
    </row>
    <row r="222" spans="1:64">
      <c r="A222" s="279"/>
      <c r="B222" s="279"/>
      <c r="C222" s="279"/>
      <c r="D222" s="279"/>
      <c r="E222" s="279"/>
      <c r="F222" s="279"/>
      <c r="G222" s="279"/>
      <c r="H222" s="279"/>
      <c r="I222" s="279"/>
      <c r="J222" s="279"/>
      <c r="K222" s="279"/>
      <c r="L222" s="279"/>
      <c r="M222" s="279"/>
      <c r="N222" s="279"/>
      <c r="O222" s="279"/>
      <c r="P222" s="279"/>
      <c r="Q222" s="279"/>
      <c r="R222" s="279"/>
      <c r="S222" s="279"/>
      <c r="T222" s="279"/>
      <c r="U222" s="279"/>
      <c r="V222" s="279"/>
      <c r="W222" s="279"/>
      <c r="X222" s="279"/>
      <c r="Y222" s="279"/>
      <c r="Z222" s="279"/>
      <c r="AA222" s="279"/>
      <c r="AB222" s="279"/>
      <c r="AC222" s="279"/>
      <c r="AD222" s="279"/>
      <c r="AE222" s="279"/>
      <c r="AF222" s="279"/>
      <c r="AG222" s="279"/>
      <c r="AH222" s="279"/>
      <c r="AI222" s="279"/>
      <c r="AJ222" s="279"/>
      <c r="AK222" s="279"/>
      <c r="AL222" s="279"/>
      <c r="AM222" s="279"/>
      <c r="AN222" s="279"/>
      <c r="AO222" s="279"/>
      <c r="AP222" s="279"/>
      <c r="AQ222" s="279"/>
      <c r="AR222" s="279"/>
      <c r="AS222" s="279"/>
      <c r="AT222" s="279"/>
      <c r="AU222" s="279"/>
      <c r="AV222" s="279"/>
      <c r="AW222" s="279"/>
      <c r="AX222" s="279"/>
      <c r="AY222" s="279"/>
      <c r="AZ222" s="279"/>
      <c r="BA222" s="279"/>
      <c r="BB222" s="279"/>
      <c r="BC222" s="279"/>
      <c r="BD222" s="279"/>
      <c r="BE222" s="279"/>
      <c r="BF222" s="279"/>
      <c r="BG222" s="279"/>
      <c r="BH222" s="279"/>
      <c r="BI222" s="279"/>
      <c r="BJ222" s="279"/>
      <c r="BK222" s="279"/>
      <c r="BL222" s="279"/>
    </row>
    <row r="223" spans="1:64">
      <c r="A223" s="279"/>
      <c r="B223" s="279"/>
      <c r="C223" s="279"/>
      <c r="D223" s="279"/>
      <c r="E223" s="279"/>
      <c r="F223" s="279"/>
      <c r="G223" s="279"/>
      <c r="H223" s="279"/>
      <c r="I223" s="279"/>
      <c r="J223" s="279"/>
      <c r="K223" s="279"/>
      <c r="L223" s="279"/>
      <c r="M223" s="279"/>
      <c r="N223" s="279"/>
      <c r="O223" s="279"/>
      <c r="P223" s="279"/>
      <c r="Q223" s="279"/>
      <c r="R223" s="279"/>
      <c r="S223" s="279"/>
      <c r="T223" s="279"/>
      <c r="U223" s="279"/>
      <c r="V223" s="279"/>
      <c r="W223" s="279"/>
      <c r="X223" s="279"/>
      <c r="Y223" s="279"/>
      <c r="Z223" s="279"/>
      <c r="AA223" s="279"/>
      <c r="AB223" s="279"/>
      <c r="AC223" s="279"/>
      <c r="AD223" s="279"/>
      <c r="AE223" s="279"/>
      <c r="AF223" s="279"/>
      <c r="AG223" s="279"/>
      <c r="AH223" s="279"/>
      <c r="AI223" s="279"/>
      <c r="AJ223" s="279"/>
      <c r="AK223" s="279"/>
      <c r="AL223" s="279"/>
      <c r="AM223" s="279"/>
      <c r="AN223" s="279"/>
      <c r="AO223" s="279"/>
      <c r="AP223" s="279"/>
      <c r="AQ223" s="279"/>
      <c r="AR223" s="279"/>
      <c r="AS223" s="279"/>
      <c r="AT223" s="279"/>
      <c r="AU223" s="279"/>
      <c r="AV223" s="279"/>
      <c r="AW223" s="279"/>
      <c r="AX223" s="279"/>
      <c r="AY223" s="279"/>
      <c r="AZ223" s="279"/>
      <c r="BA223" s="279"/>
      <c r="BB223" s="279"/>
      <c r="BC223" s="279"/>
      <c r="BD223" s="279"/>
      <c r="BE223" s="279"/>
      <c r="BF223" s="279"/>
      <c r="BG223" s="279"/>
      <c r="BH223" s="279"/>
      <c r="BI223" s="279"/>
      <c r="BJ223" s="279"/>
      <c r="BK223" s="279"/>
      <c r="BL223" s="279"/>
    </row>
    <row r="224" spans="1:64">
      <c r="A224" s="279"/>
      <c r="B224" s="279"/>
      <c r="C224" s="279"/>
      <c r="D224" s="279"/>
      <c r="E224" s="279"/>
      <c r="F224" s="279"/>
      <c r="G224" s="279"/>
      <c r="H224" s="279"/>
      <c r="I224" s="279"/>
      <c r="J224" s="279"/>
      <c r="K224" s="279"/>
      <c r="L224" s="279"/>
      <c r="M224" s="279"/>
      <c r="N224" s="279"/>
      <c r="O224" s="279"/>
      <c r="P224" s="279"/>
      <c r="Q224" s="279"/>
      <c r="R224" s="279"/>
      <c r="S224" s="279"/>
      <c r="T224" s="279"/>
      <c r="U224" s="279"/>
      <c r="V224" s="279"/>
      <c r="W224" s="279"/>
      <c r="X224" s="279"/>
      <c r="Y224" s="279"/>
      <c r="Z224" s="279"/>
      <c r="AA224" s="279"/>
      <c r="AB224" s="279"/>
      <c r="AC224" s="279"/>
      <c r="AD224" s="279"/>
      <c r="AE224" s="279"/>
      <c r="AF224" s="279"/>
      <c r="AG224" s="279"/>
      <c r="AH224" s="279"/>
      <c r="AI224" s="279"/>
      <c r="AJ224" s="279"/>
      <c r="AK224" s="279"/>
      <c r="AL224" s="279"/>
      <c r="AM224" s="279"/>
      <c r="AN224" s="279"/>
      <c r="AO224" s="279"/>
      <c r="AP224" s="279"/>
      <c r="AQ224" s="279"/>
      <c r="AR224" s="279"/>
      <c r="AS224" s="279"/>
      <c r="AT224" s="279"/>
      <c r="AU224" s="279"/>
      <c r="AV224" s="279"/>
      <c r="AW224" s="279"/>
      <c r="AX224" s="279"/>
      <c r="AY224" s="279"/>
      <c r="AZ224" s="279"/>
      <c r="BA224" s="279"/>
      <c r="BB224" s="279"/>
      <c r="BC224" s="279"/>
      <c r="BD224" s="279"/>
      <c r="BE224" s="279"/>
      <c r="BF224" s="279"/>
      <c r="BG224" s="279"/>
      <c r="BH224" s="279"/>
      <c r="BI224" s="279"/>
      <c r="BJ224" s="279"/>
      <c r="BK224" s="279"/>
      <c r="BL224" s="279"/>
    </row>
    <row r="225" spans="65:67" s="279" customFormat="1">
      <c r="BM225" s="252"/>
      <c r="BN225" s="252"/>
      <c r="BO225" s="252"/>
    </row>
    <row r="226" spans="65:67" s="279" customFormat="1">
      <c r="BM226" s="252"/>
      <c r="BN226" s="252"/>
      <c r="BO226" s="252"/>
    </row>
    <row r="227" spans="65:67" s="279" customFormat="1">
      <c r="BM227" s="252"/>
      <c r="BN227" s="252"/>
      <c r="BO227" s="252"/>
    </row>
    <row r="228" spans="65:67" s="279" customFormat="1">
      <c r="BM228" s="252"/>
      <c r="BN228" s="252"/>
      <c r="BO228" s="252"/>
    </row>
    <row r="229" spans="65:67" s="279" customFormat="1">
      <c r="BM229" s="252"/>
      <c r="BN229" s="252"/>
      <c r="BO229" s="252"/>
    </row>
    <row r="230" spans="65:67" s="279" customFormat="1">
      <c r="BM230" s="252"/>
      <c r="BN230" s="252"/>
      <c r="BO230" s="252"/>
    </row>
    <row r="231" spans="65:67" s="279" customFormat="1">
      <c r="BM231" s="252"/>
      <c r="BN231" s="252"/>
      <c r="BO231" s="252"/>
    </row>
    <row r="232" spans="65:67" s="279" customFormat="1">
      <c r="BM232" s="252"/>
      <c r="BN232" s="252"/>
      <c r="BO232" s="252"/>
    </row>
    <row r="233" spans="65:67" s="279" customFormat="1">
      <c r="BM233" s="252"/>
      <c r="BN233" s="252"/>
      <c r="BO233" s="252"/>
    </row>
    <row r="234" spans="65:67" s="279" customFormat="1">
      <c r="BM234" s="252"/>
      <c r="BN234" s="252"/>
      <c r="BO234" s="252"/>
    </row>
    <row r="235" spans="65:67" s="279" customFormat="1">
      <c r="BM235" s="252"/>
      <c r="BN235" s="252"/>
      <c r="BO235" s="252"/>
    </row>
    <row r="236" spans="65:67" s="279" customFormat="1">
      <c r="BM236" s="252"/>
      <c r="BN236" s="252"/>
      <c r="BO236" s="252"/>
    </row>
    <row r="237" spans="65:67" s="279" customFormat="1">
      <c r="BM237" s="252"/>
      <c r="BN237" s="252"/>
      <c r="BO237" s="252"/>
    </row>
    <row r="238" spans="65:67" s="279" customFormat="1">
      <c r="BM238" s="252"/>
      <c r="BN238" s="252"/>
      <c r="BO238" s="252"/>
    </row>
    <row r="239" spans="65:67" s="279" customFormat="1">
      <c r="BM239" s="252"/>
      <c r="BN239" s="252"/>
      <c r="BO239" s="252"/>
    </row>
    <row r="240" spans="65:67" s="279" customFormat="1">
      <c r="BM240" s="252"/>
      <c r="BN240" s="252"/>
      <c r="BO240" s="252"/>
    </row>
    <row r="241" spans="65:67" s="279" customFormat="1">
      <c r="BM241" s="252"/>
      <c r="BN241" s="252"/>
      <c r="BO241" s="252"/>
    </row>
    <row r="242" spans="65:67" s="279" customFormat="1">
      <c r="BM242" s="252"/>
      <c r="BN242" s="252"/>
      <c r="BO242" s="252"/>
    </row>
    <row r="243" spans="65:67" s="279" customFormat="1">
      <c r="BM243" s="252"/>
      <c r="BN243" s="252"/>
      <c r="BO243" s="252"/>
    </row>
    <row r="244" spans="65:67" s="279" customFormat="1">
      <c r="BM244" s="252"/>
      <c r="BN244" s="252"/>
      <c r="BO244" s="252"/>
    </row>
    <row r="245" spans="65:67" s="279" customFormat="1">
      <c r="BM245" s="252"/>
      <c r="BN245" s="252"/>
      <c r="BO245" s="252"/>
    </row>
    <row r="246" spans="65:67" s="279" customFormat="1">
      <c r="BM246" s="252"/>
      <c r="BN246" s="252"/>
      <c r="BO246" s="252"/>
    </row>
    <row r="247" spans="65:67" s="279" customFormat="1">
      <c r="BM247" s="252"/>
      <c r="BN247" s="252"/>
      <c r="BO247" s="252"/>
    </row>
    <row r="248" spans="65:67" s="279" customFormat="1">
      <c r="BM248" s="252"/>
      <c r="BN248" s="252"/>
      <c r="BO248" s="252"/>
    </row>
    <row r="249" spans="65:67" s="279" customFormat="1">
      <c r="BM249" s="252"/>
      <c r="BN249" s="252"/>
      <c r="BO249" s="252"/>
    </row>
    <row r="250" spans="65:67" s="279" customFormat="1">
      <c r="BM250" s="252"/>
      <c r="BN250" s="252"/>
      <c r="BO250" s="252"/>
    </row>
    <row r="251" spans="65:67" s="279" customFormat="1">
      <c r="BM251" s="252"/>
      <c r="BN251" s="252"/>
      <c r="BO251" s="252"/>
    </row>
    <row r="252" spans="65:67" s="279" customFormat="1">
      <c r="BM252" s="252"/>
      <c r="BN252" s="252"/>
      <c r="BO252" s="252"/>
    </row>
    <row r="253" spans="65:67" s="279" customFormat="1">
      <c r="BM253" s="252"/>
      <c r="BN253" s="252"/>
      <c r="BO253" s="252"/>
    </row>
    <row r="254" spans="65:67" s="279" customFormat="1">
      <c r="BM254" s="252"/>
      <c r="BN254" s="252"/>
      <c r="BO254" s="252"/>
    </row>
    <row r="255" spans="65:67" s="279" customFormat="1">
      <c r="BM255" s="252"/>
      <c r="BN255" s="252"/>
      <c r="BO255" s="252"/>
    </row>
    <row r="256" spans="65:67" s="279" customFormat="1">
      <c r="BM256" s="252"/>
      <c r="BN256" s="252"/>
      <c r="BO256" s="252"/>
    </row>
    <row r="257" spans="65:67" s="279" customFormat="1">
      <c r="BM257" s="252"/>
      <c r="BN257" s="252"/>
      <c r="BO257" s="252"/>
    </row>
    <row r="258" spans="65:67" s="279" customFormat="1">
      <c r="BM258" s="252"/>
      <c r="BN258" s="252"/>
      <c r="BO258" s="252"/>
    </row>
    <row r="259" spans="65:67" s="279" customFormat="1">
      <c r="BM259" s="252"/>
      <c r="BN259" s="252"/>
      <c r="BO259" s="252"/>
    </row>
    <row r="260" spans="65:67" s="279" customFormat="1">
      <c r="BM260" s="252"/>
      <c r="BN260" s="252"/>
      <c r="BO260" s="252"/>
    </row>
    <row r="261" spans="65:67" s="279" customFormat="1">
      <c r="BM261" s="252"/>
      <c r="BN261" s="252"/>
      <c r="BO261" s="252"/>
    </row>
    <row r="262" spans="65:67" s="279" customFormat="1">
      <c r="BM262" s="252"/>
      <c r="BN262" s="252"/>
      <c r="BO262" s="252"/>
    </row>
    <row r="263" spans="65:67" s="279" customFormat="1">
      <c r="BM263" s="252"/>
      <c r="BN263" s="252"/>
      <c r="BO263" s="252"/>
    </row>
    <row r="264" spans="65:67" s="279" customFormat="1">
      <c r="BM264" s="252"/>
      <c r="BN264" s="252"/>
      <c r="BO264" s="252"/>
    </row>
    <row r="265" spans="65:67" s="279" customFormat="1">
      <c r="BM265" s="252"/>
      <c r="BN265" s="252"/>
      <c r="BO265" s="252"/>
    </row>
    <row r="266" spans="65:67" s="279" customFormat="1">
      <c r="BM266" s="252"/>
      <c r="BN266" s="252"/>
      <c r="BO266" s="252"/>
    </row>
    <row r="267" spans="65:67" s="279" customFormat="1">
      <c r="BM267" s="252"/>
      <c r="BN267" s="252"/>
      <c r="BO267" s="252"/>
    </row>
    <row r="268" spans="65:67" s="279" customFormat="1">
      <c r="BM268" s="252"/>
      <c r="BN268" s="252"/>
      <c r="BO268" s="252"/>
    </row>
    <row r="269" spans="65:67" s="279" customFormat="1">
      <c r="BM269" s="252"/>
      <c r="BN269" s="252"/>
      <c r="BO269" s="252"/>
    </row>
    <row r="270" spans="65:67" s="279" customFormat="1">
      <c r="BM270" s="252"/>
      <c r="BN270" s="252"/>
      <c r="BO270" s="252"/>
    </row>
    <row r="271" spans="65:67" s="279" customFormat="1">
      <c r="BM271" s="252"/>
      <c r="BN271" s="252"/>
      <c r="BO271" s="252"/>
    </row>
    <row r="272" spans="65:67" s="279" customFormat="1">
      <c r="BM272" s="252"/>
      <c r="BN272" s="252"/>
      <c r="BO272" s="252"/>
    </row>
    <row r="273" spans="65:67" s="279" customFormat="1">
      <c r="BM273" s="252"/>
      <c r="BN273" s="252"/>
      <c r="BO273" s="252"/>
    </row>
    <row r="274" spans="65:67" s="279" customFormat="1">
      <c r="BM274" s="252"/>
      <c r="BN274" s="252"/>
      <c r="BO274" s="252"/>
    </row>
    <row r="275" spans="65:67" s="279" customFormat="1">
      <c r="BM275" s="252"/>
      <c r="BN275" s="252"/>
      <c r="BO275" s="252"/>
    </row>
    <row r="276" spans="65:67" s="279" customFormat="1">
      <c r="BM276" s="252"/>
      <c r="BN276" s="252"/>
      <c r="BO276" s="252"/>
    </row>
    <row r="277" spans="65:67" s="279" customFormat="1">
      <c r="BM277" s="252"/>
      <c r="BN277" s="252"/>
      <c r="BO277" s="252"/>
    </row>
    <row r="278" spans="65:67" s="279" customFormat="1">
      <c r="BM278" s="252"/>
      <c r="BN278" s="252"/>
      <c r="BO278" s="252"/>
    </row>
    <row r="279" spans="65:67" s="279" customFormat="1">
      <c r="BM279" s="252"/>
      <c r="BN279" s="252"/>
      <c r="BO279" s="252"/>
    </row>
    <row r="280" spans="65:67" s="279" customFormat="1">
      <c r="BM280" s="252"/>
      <c r="BN280" s="252"/>
      <c r="BO280" s="252"/>
    </row>
    <row r="281" spans="65:67" s="279" customFormat="1">
      <c r="BM281" s="252"/>
      <c r="BN281" s="252"/>
      <c r="BO281" s="252"/>
    </row>
    <row r="282" spans="65:67" s="279" customFormat="1">
      <c r="BM282" s="252"/>
      <c r="BN282" s="252"/>
      <c r="BO282" s="252"/>
    </row>
    <row r="283" spans="65:67" s="279" customFormat="1">
      <c r="BM283" s="252"/>
      <c r="BN283" s="252"/>
      <c r="BO283" s="252"/>
    </row>
    <row r="284" spans="65:67" s="279" customFormat="1">
      <c r="BM284" s="252"/>
      <c r="BN284" s="252"/>
      <c r="BO284" s="252"/>
    </row>
    <row r="285" spans="65:67" s="279" customFormat="1">
      <c r="BM285" s="252"/>
      <c r="BN285" s="252"/>
      <c r="BO285" s="252"/>
    </row>
    <row r="286" spans="65:67" s="279" customFormat="1">
      <c r="BM286" s="252"/>
      <c r="BN286" s="252"/>
      <c r="BO286" s="252"/>
    </row>
    <row r="287" spans="65:67" s="279" customFormat="1">
      <c r="BM287" s="252"/>
      <c r="BN287" s="252"/>
      <c r="BO287" s="252"/>
    </row>
    <row r="288" spans="65:67" s="279" customFormat="1">
      <c r="BM288" s="252"/>
      <c r="BN288" s="252"/>
      <c r="BO288" s="252"/>
    </row>
    <row r="289" spans="65:67" s="279" customFormat="1">
      <c r="BM289" s="252"/>
      <c r="BN289" s="252"/>
      <c r="BO289" s="252"/>
    </row>
    <row r="290" spans="65:67" s="279" customFormat="1">
      <c r="BM290" s="252"/>
      <c r="BN290" s="252"/>
      <c r="BO290" s="252"/>
    </row>
    <row r="291" spans="65:67" s="279" customFormat="1">
      <c r="BM291" s="252"/>
      <c r="BN291" s="252"/>
      <c r="BO291" s="252"/>
    </row>
    <row r="292" spans="65:67" s="279" customFormat="1">
      <c r="BM292" s="252"/>
      <c r="BN292" s="252"/>
      <c r="BO292" s="252"/>
    </row>
    <row r="293" spans="65:67" s="279" customFormat="1">
      <c r="BM293" s="252"/>
      <c r="BN293" s="252"/>
      <c r="BO293" s="252"/>
    </row>
    <row r="294" spans="65:67" s="279" customFormat="1">
      <c r="BM294" s="252"/>
      <c r="BN294" s="252"/>
      <c r="BO294" s="252"/>
    </row>
    <row r="295" spans="65:67" s="279" customFormat="1">
      <c r="BM295" s="252"/>
      <c r="BN295" s="252"/>
      <c r="BO295" s="252"/>
    </row>
    <row r="296" spans="65:67" s="279" customFormat="1">
      <c r="BM296" s="252"/>
      <c r="BN296" s="252"/>
      <c r="BO296" s="252"/>
    </row>
    <row r="297" spans="65:67" s="279" customFormat="1">
      <c r="BM297" s="252"/>
      <c r="BN297" s="252"/>
      <c r="BO297" s="252"/>
    </row>
    <row r="298" spans="65:67" s="279" customFormat="1">
      <c r="BM298" s="252"/>
      <c r="BN298" s="252"/>
      <c r="BO298" s="252"/>
    </row>
    <row r="299" spans="65:67" s="279" customFormat="1">
      <c r="BM299" s="252"/>
      <c r="BN299" s="252"/>
      <c r="BO299" s="252"/>
    </row>
    <row r="300" spans="65:67" s="279" customFormat="1">
      <c r="BM300" s="252"/>
      <c r="BN300" s="252"/>
      <c r="BO300" s="252"/>
    </row>
    <row r="301" spans="65:67" s="279" customFormat="1">
      <c r="BM301" s="252"/>
      <c r="BN301" s="252"/>
      <c r="BO301" s="252"/>
    </row>
    <row r="302" spans="65:67" s="279" customFormat="1">
      <c r="BM302" s="252"/>
      <c r="BN302" s="252"/>
      <c r="BO302" s="252"/>
    </row>
    <row r="303" spans="65:67" s="279" customFormat="1">
      <c r="BM303" s="252"/>
      <c r="BN303" s="252"/>
      <c r="BO303" s="252"/>
    </row>
    <row r="304" spans="65:67" s="279" customFormat="1">
      <c r="BM304" s="252"/>
      <c r="BN304" s="252"/>
      <c r="BO304" s="252"/>
    </row>
    <row r="305" spans="65:67" s="279" customFormat="1">
      <c r="BM305" s="252"/>
      <c r="BN305" s="252"/>
      <c r="BO305" s="252"/>
    </row>
    <row r="306" spans="65:67" s="279" customFormat="1">
      <c r="BM306" s="252"/>
      <c r="BN306" s="252"/>
      <c r="BO306" s="252"/>
    </row>
    <row r="307" spans="65:67" s="279" customFormat="1">
      <c r="BM307" s="252"/>
      <c r="BN307" s="252"/>
      <c r="BO307" s="252"/>
    </row>
    <row r="308" spans="65:67" s="279" customFormat="1">
      <c r="BM308" s="252"/>
      <c r="BN308" s="252"/>
      <c r="BO308" s="252"/>
    </row>
    <row r="309" spans="65:67" s="279" customFormat="1">
      <c r="BM309" s="252"/>
      <c r="BN309" s="252"/>
      <c r="BO309" s="252"/>
    </row>
    <row r="310" spans="65:67" s="279" customFormat="1">
      <c r="BM310" s="252"/>
      <c r="BN310" s="252"/>
      <c r="BO310" s="252"/>
    </row>
    <row r="311" spans="65:67" s="279" customFormat="1">
      <c r="BM311" s="252"/>
      <c r="BN311" s="252"/>
      <c r="BO311" s="252"/>
    </row>
    <row r="312" spans="65:67" s="279" customFormat="1">
      <c r="BM312" s="252"/>
      <c r="BN312" s="252"/>
      <c r="BO312" s="252"/>
    </row>
    <row r="313" spans="65:67" s="279" customFormat="1">
      <c r="BM313" s="252"/>
      <c r="BN313" s="252"/>
      <c r="BO313" s="252"/>
    </row>
    <row r="314" spans="65:67" s="279" customFormat="1">
      <c r="BM314" s="252"/>
      <c r="BN314" s="252"/>
      <c r="BO314" s="252"/>
    </row>
    <row r="315" spans="65:67" s="279" customFormat="1">
      <c r="BM315" s="252"/>
      <c r="BN315" s="252"/>
      <c r="BO315" s="252"/>
    </row>
    <row r="316" spans="65:67" s="279" customFormat="1">
      <c r="BM316" s="252"/>
      <c r="BN316" s="252"/>
      <c r="BO316" s="252"/>
    </row>
    <row r="317" spans="65:67" s="279" customFormat="1">
      <c r="BM317" s="252"/>
      <c r="BN317" s="252"/>
      <c r="BO317" s="252"/>
    </row>
    <row r="318" spans="65:67" s="279" customFormat="1">
      <c r="BM318" s="252"/>
      <c r="BN318" s="252"/>
      <c r="BO318" s="252"/>
    </row>
    <row r="319" spans="65:67" s="279" customFormat="1">
      <c r="BM319" s="252"/>
      <c r="BN319" s="252"/>
      <c r="BO319" s="252"/>
    </row>
    <row r="320" spans="65:67" s="279" customFormat="1">
      <c r="BM320" s="252"/>
      <c r="BN320" s="252"/>
      <c r="BO320" s="252"/>
    </row>
    <row r="321" spans="65:67" s="279" customFormat="1">
      <c r="BM321" s="252"/>
      <c r="BN321" s="252"/>
      <c r="BO321" s="252"/>
    </row>
    <row r="322" spans="65:67" s="279" customFormat="1">
      <c r="BM322" s="252"/>
      <c r="BN322" s="252"/>
      <c r="BO322" s="252"/>
    </row>
    <row r="323" spans="65:67" s="279" customFormat="1">
      <c r="BM323" s="252"/>
      <c r="BN323" s="252"/>
      <c r="BO323" s="252"/>
    </row>
    <row r="324" spans="65:67" s="279" customFormat="1">
      <c r="BM324" s="252"/>
      <c r="BN324" s="252"/>
      <c r="BO324" s="252"/>
    </row>
    <row r="325" spans="65:67" s="279" customFormat="1">
      <c r="BM325" s="252"/>
      <c r="BN325" s="252"/>
      <c r="BO325" s="252"/>
    </row>
    <row r="326" spans="65:67" s="279" customFormat="1">
      <c r="BM326" s="252"/>
      <c r="BN326" s="252"/>
      <c r="BO326" s="252"/>
    </row>
    <row r="327" spans="65:67" s="279" customFormat="1">
      <c r="BM327" s="252"/>
      <c r="BN327" s="252"/>
      <c r="BO327" s="252"/>
    </row>
    <row r="328" spans="65:67" s="279" customFormat="1">
      <c r="BM328" s="252"/>
      <c r="BN328" s="252"/>
      <c r="BO328" s="252"/>
    </row>
    <row r="329" spans="65:67" s="279" customFormat="1">
      <c r="BM329" s="252"/>
      <c r="BN329" s="252"/>
      <c r="BO329" s="252"/>
    </row>
    <row r="330" spans="65:67" s="279" customFormat="1">
      <c r="BM330" s="252"/>
      <c r="BN330" s="252"/>
      <c r="BO330" s="252"/>
    </row>
    <row r="331" spans="65:67" s="279" customFormat="1">
      <c r="BM331" s="252"/>
      <c r="BN331" s="252"/>
      <c r="BO331" s="252"/>
    </row>
    <row r="332" spans="65:67" s="279" customFormat="1">
      <c r="BM332" s="252"/>
      <c r="BN332" s="252"/>
      <c r="BO332" s="252"/>
    </row>
    <row r="333" spans="65:67" s="279" customFormat="1">
      <c r="BM333" s="252"/>
      <c r="BN333" s="252"/>
      <c r="BO333" s="252"/>
    </row>
    <row r="334" spans="65:67" s="279" customFormat="1">
      <c r="BM334" s="252"/>
      <c r="BN334" s="252"/>
      <c r="BO334" s="252"/>
    </row>
    <row r="335" spans="65:67" s="279" customFormat="1">
      <c r="BM335" s="252"/>
      <c r="BN335" s="252"/>
      <c r="BO335" s="252"/>
    </row>
    <row r="336" spans="65:67" s="279" customFormat="1">
      <c r="BM336" s="252"/>
      <c r="BN336" s="252"/>
      <c r="BO336" s="252"/>
    </row>
    <row r="337" spans="65:67" s="279" customFormat="1">
      <c r="BM337" s="252"/>
      <c r="BN337" s="252"/>
      <c r="BO337" s="252"/>
    </row>
    <row r="338" spans="65:67" s="279" customFormat="1">
      <c r="BM338" s="252"/>
      <c r="BN338" s="252"/>
      <c r="BO338" s="252"/>
    </row>
    <row r="339" spans="65:67" s="279" customFormat="1">
      <c r="BM339" s="252"/>
      <c r="BN339" s="252"/>
      <c r="BO339" s="252"/>
    </row>
    <row r="340" spans="65:67" s="279" customFormat="1">
      <c r="BM340" s="252"/>
      <c r="BN340" s="252"/>
      <c r="BO340" s="252"/>
    </row>
    <row r="341" spans="65:67" s="279" customFormat="1">
      <c r="BM341" s="252"/>
      <c r="BN341" s="252"/>
      <c r="BO341" s="252"/>
    </row>
    <row r="342" spans="65:67" s="279" customFormat="1">
      <c r="BM342" s="252"/>
      <c r="BN342" s="252"/>
      <c r="BO342" s="252"/>
    </row>
    <row r="343" spans="65:67" s="279" customFormat="1">
      <c r="BM343" s="252"/>
      <c r="BN343" s="252"/>
      <c r="BO343" s="252"/>
    </row>
    <row r="344" spans="65:67" s="279" customFormat="1">
      <c r="BM344" s="252"/>
      <c r="BN344" s="252"/>
      <c r="BO344" s="252"/>
    </row>
    <row r="345" spans="65:67" s="279" customFormat="1">
      <c r="BM345" s="252"/>
      <c r="BN345" s="252"/>
      <c r="BO345" s="252"/>
    </row>
    <row r="346" spans="65:67" s="279" customFormat="1">
      <c r="BM346" s="252"/>
      <c r="BN346" s="252"/>
      <c r="BO346" s="252"/>
    </row>
    <row r="347" spans="65:67" s="279" customFormat="1">
      <c r="BM347" s="252"/>
      <c r="BN347" s="252"/>
      <c r="BO347" s="252"/>
    </row>
    <row r="348" spans="65:67" s="279" customFormat="1">
      <c r="BM348" s="252"/>
      <c r="BN348" s="252"/>
      <c r="BO348" s="252"/>
    </row>
    <row r="349" spans="65:67" s="279" customFormat="1">
      <c r="BM349" s="252"/>
      <c r="BN349" s="252"/>
      <c r="BO349" s="252"/>
    </row>
    <row r="350" spans="65:67" s="279" customFormat="1">
      <c r="BM350" s="252"/>
      <c r="BN350" s="252"/>
      <c r="BO350" s="252"/>
    </row>
    <row r="351" spans="65:67" s="279" customFormat="1">
      <c r="BM351" s="252"/>
      <c r="BN351" s="252"/>
      <c r="BO351" s="252"/>
    </row>
    <row r="352" spans="65:67" s="279" customFormat="1">
      <c r="BM352" s="252"/>
      <c r="BN352" s="252"/>
      <c r="BO352" s="252"/>
    </row>
    <row r="353" spans="65:67" s="279" customFormat="1">
      <c r="BM353" s="252"/>
      <c r="BN353" s="252"/>
      <c r="BO353" s="252"/>
    </row>
    <row r="354" spans="65:67" s="279" customFormat="1">
      <c r="BM354" s="252"/>
      <c r="BN354" s="252"/>
      <c r="BO354" s="252"/>
    </row>
    <row r="355" spans="65:67" s="279" customFormat="1">
      <c r="BM355" s="252"/>
      <c r="BN355" s="252"/>
      <c r="BO355" s="252"/>
    </row>
    <row r="356" spans="65:67" s="279" customFormat="1">
      <c r="BM356" s="252"/>
      <c r="BN356" s="252"/>
      <c r="BO356" s="252"/>
    </row>
    <row r="357" spans="65:67" s="279" customFormat="1">
      <c r="BM357" s="252"/>
      <c r="BN357" s="252"/>
      <c r="BO357" s="252"/>
    </row>
    <row r="358" spans="65:67" s="279" customFormat="1">
      <c r="BM358" s="252"/>
      <c r="BN358" s="252"/>
      <c r="BO358" s="252"/>
    </row>
    <row r="359" spans="65:67" s="279" customFormat="1">
      <c r="BM359" s="252"/>
      <c r="BN359" s="252"/>
      <c r="BO359" s="252"/>
    </row>
    <row r="360" spans="65:67" s="279" customFormat="1">
      <c r="BM360" s="252"/>
      <c r="BN360" s="252"/>
      <c r="BO360" s="252"/>
    </row>
    <row r="361" spans="65:67" s="279" customFormat="1">
      <c r="BM361" s="252"/>
      <c r="BN361" s="252"/>
      <c r="BO361" s="252"/>
    </row>
    <row r="362" spans="65:67" s="279" customFormat="1">
      <c r="BM362" s="252"/>
      <c r="BN362" s="252"/>
      <c r="BO362" s="252"/>
    </row>
    <row r="363" spans="65:67" s="279" customFormat="1">
      <c r="BM363" s="252"/>
      <c r="BN363" s="252"/>
      <c r="BO363" s="252"/>
    </row>
    <row r="364" spans="65:67" s="279" customFormat="1">
      <c r="BM364" s="252"/>
      <c r="BN364" s="252"/>
      <c r="BO364" s="252"/>
    </row>
    <row r="365" spans="65:67" s="279" customFormat="1">
      <c r="BM365" s="252"/>
      <c r="BN365" s="252"/>
      <c r="BO365" s="252"/>
    </row>
    <row r="366" spans="65:67" s="279" customFormat="1">
      <c r="BM366" s="252"/>
      <c r="BN366" s="252"/>
      <c r="BO366" s="252"/>
    </row>
    <row r="367" spans="65:67" s="279" customFormat="1">
      <c r="BM367" s="252"/>
      <c r="BN367" s="252"/>
      <c r="BO367" s="252"/>
    </row>
    <row r="368" spans="65:67" s="279" customFormat="1">
      <c r="BM368" s="252"/>
      <c r="BN368" s="252"/>
      <c r="BO368" s="252"/>
    </row>
    <row r="369" spans="65:67" s="279" customFormat="1">
      <c r="BM369" s="252"/>
      <c r="BN369" s="252"/>
      <c r="BO369" s="252"/>
    </row>
    <row r="370" spans="65:67" s="279" customFormat="1">
      <c r="BM370" s="252"/>
      <c r="BN370" s="252"/>
      <c r="BO370" s="252"/>
    </row>
    <row r="371" spans="65:67" s="279" customFormat="1">
      <c r="BM371" s="252"/>
      <c r="BN371" s="252"/>
      <c r="BO371" s="252"/>
    </row>
    <row r="372" spans="65:67" s="279" customFormat="1">
      <c r="BM372" s="252"/>
      <c r="BN372" s="252"/>
      <c r="BO372" s="252"/>
    </row>
    <row r="373" spans="65:67" s="279" customFormat="1">
      <c r="BM373" s="252"/>
      <c r="BN373" s="252"/>
      <c r="BO373" s="252"/>
    </row>
    <row r="374" spans="65:67" s="279" customFormat="1">
      <c r="BM374" s="252"/>
      <c r="BN374" s="252"/>
      <c r="BO374" s="252"/>
    </row>
    <row r="375" spans="65:67" s="279" customFormat="1">
      <c r="BM375" s="252"/>
      <c r="BN375" s="252"/>
      <c r="BO375" s="252"/>
    </row>
    <row r="376" spans="65:67" s="279" customFormat="1">
      <c r="BM376" s="252"/>
      <c r="BN376" s="252"/>
      <c r="BO376" s="252"/>
    </row>
    <row r="377" spans="65:67" s="279" customFormat="1">
      <c r="BM377" s="252"/>
      <c r="BN377" s="252"/>
      <c r="BO377" s="252"/>
    </row>
    <row r="378" spans="65:67" s="279" customFormat="1">
      <c r="BM378" s="252"/>
      <c r="BN378" s="252"/>
      <c r="BO378" s="252"/>
    </row>
    <row r="379" spans="65:67" s="279" customFormat="1">
      <c r="BM379" s="252"/>
      <c r="BN379" s="252"/>
      <c r="BO379" s="252"/>
    </row>
    <row r="380" spans="65:67" s="279" customFormat="1">
      <c r="BM380" s="252"/>
      <c r="BN380" s="252"/>
      <c r="BO380" s="252"/>
    </row>
    <row r="381" spans="65:67" s="279" customFormat="1">
      <c r="BM381" s="252"/>
      <c r="BN381" s="252"/>
      <c r="BO381" s="252"/>
    </row>
    <row r="382" spans="65:67" s="279" customFormat="1">
      <c r="BM382" s="252"/>
      <c r="BN382" s="252"/>
      <c r="BO382" s="252"/>
    </row>
    <row r="383" spans="65:67" s="279" customFormat="1">
      <c r="BM383" s="252"/>
      <c r="BN383" s="252"/>
      <c r="BO383" s="252"/>
    </row>
    <row r="384" spans="65:67" s="279" customFormat="1">
      <c r="BM384" s="252"/>
      <c r="BN384" s="252"/>
      <c r="BO384" s="252"/>
    </row>
    <row r="385" spans="65:67" s="279" customFormat="1">
      <c r="BM385" s="252"/>
      <c r="BN385" s="252"/>
      <c r="BO385" s="252"/>
    </row>
    <row r="386" spans="65:67" s="279" customFormat="1">
      <c r="BM386" s="252"/>
      <c r="BN386" s="252"/>
      <c r="BO386" s="252"/>
    </row>
    <row r="387" spans="65:67" s="279" customFormat="1">
      <c r="BM387" s="252"/>
      <c r="BN387" s="252"/>
      <c r="BO387" s="252"/>
    </row>
    <row r="388" spans="65:67" s="279" customFormat="1">
      <c r="BM388" s="252"/>
      <c r="BN388" s="252"/>
      <c r="BO388" s="252"/>
    </row>
    <row r="389" spans="65:67" s="279" customFormat="1">
      <c r="BM389" s="252"/>
      <c r="BN389" s="252"/>
      <c r="BO389" s="252"/>
    </row>
    <row r="390" spans="65:67" s="279" customFormat="1">
      <c r="BM390" s="252"/>
      <c r="BN390" s="252"/>
      <c r="BO390" s="252"/>
    </row>
    <row r="391" spans="65:67" s="279" customFormat="1">
      <c r="BM391" s="252"/>
      <c r="BN391" s="252"/>
      <c r="BO391" s="252"/>
    </row>
    <row r="392" spans="65:67" s="279" customFormat="1">
      <c r="BM392" s="252"/>
      <c r="BN392" s="252"/>
      <c r="BO392" s="252"/>
    </row>
    <row r="393" spans="65:67" s="279" customFormat="1">
      <c r="BM393" s="252"/>
      <c r="BN393" s="252"/>
      <c r="BO393" s="252"/>
    </row>
    <row r="394" spans="65:67" s="279" customFormat="1">
      <c r="BM394" s="252"/>
      <c r="BN394" s="252"/>
      <c r="BO394" s="252"/>
    </row>
    <row r="395" spans="65:67" s="279" customFormat="1">
      <c r="BM395" s="252"/>
      <c r="BN395" s="252"/>
      <c r="BO395" s="252"/>
    </row>
    <row r="396" spans="65:67" s="279" customFormat="1">
      <c r="BM396" s="252"/>
      <c r="BN396" s="252"/>
      <c r="BO396" s="252"/>
    </row>
    <row r="397" spans="65:67" s="279" customFormat="1">
      <c r="BM397" s="252"/>
      <c r="BN397" s="252"/>
      <c r="BO397" s="252"/>
    </row>
    <row r="398" spans="65:67" s="279" customFormat="1">
      <c r="BM398" s="252"/>
      <c r="BN398" s="252"/>
      <c r="BO398" s="252"/>
    </row>
    <row r="399" spans="65:67" s="279" customFormat="1">
      <c r="BM399" s="252"/>
      <c r="BN399" s="252"/>
      <c r="BO399" s="252"/>
    </row>
    <row r="400" spans="65:67" s="279" customFormat="1">
      <c r="BM400" s="252"/>
      <c r="BN400" s="252"/>
      <c r="BO400" s="252"/>
    </row>
    <row r="401" spans="65:67" s="279" customFormat="1">
      <c r="BM401" s="252"/>
      <c r="BN401" s="252"/>
      <c r="BO401" s="252"/>
    </row>
    <row r="402" spans="65:67" s="279" customFormat="1">
      <c r="BM402" s="252"/>
      <c r="BN402" s="252"/>
      <c r="BO402" s="252"/>
    </row>
    <row r="403" spans="65:67" s="279" customFormat="1">
      <c r="BM403" s="252"/>
      <c r="BN403" s="252"/>
      <c r="BO403" s="252"/>
    </row>
    <row r="404" spans="65:67" s="279" customFormat="1">
      <c r="BM404" s="252"/>
      <c r="BN404" s="252"/>
      <c r="BO404" s="252"/>
    </row>
    <row r="405" spans="65:67" s="279" customFormat="1">
      <c r="BM405" s="252"/>
      <c r="BN405" s="252"/>
      <c r="BO405" s="252"/>
    </row>
    <row r="406" spans="65:67" s="279" customFormat="1">
      <c r="BM406" s="252"/>
      <c r="BN406" s="252"/>
      <c r="BO406" s="252"/>
    </row>
    <row r="407" spans="65:67" s="279" customFormat="1">
      <c r="BM407" s="252"/>
      <c r="BN407" s="252"/>
      <c r="BO407" s="252"/>
    </row>
    <row r="408" spans="65:67" s="279" customFormat="1">
      <c r="BM408" s="252"/>
      <c r="BN408" s="252"/>
      <c r="BO408" s="252"/>
    </row>
    <row r="409" spans="65:67" s="279" customFormat="1">
      <c r="BM409" s="252"/>
      <c r="BN409" s="252"/>
      <c r="BO409" s="252"/>
    </row>
    <row r="410" spans="65:67" s="279" customFormat="1">
      <c r="BM410" s="252"/>
      <c r="BN410" s="252"/>
      <c r="BO410" s="252"/>
    </row>
    <row r="411" spans="65:67" s="279" customFormat="1">
      <c r="BM411" s="252"/>
      <c r="BN411" s="252"/>
      <c r="BO411" s="252"/>
    </row>
    <row r="412" spans="65:67" s="279" customFormat="1">
      <c r="BM412" s="252"/>
      <c r="BN412" s="252"/>
      <c r="BO412" s="252"/>
    </row>
    <row r="413" spans="65:67" s="279" customFormat="1">
      <c r="BM413" s="252"/>
      <c r="BN413" s="252"/>
      <c r="BO413" s="252"/>
    </row>
    <row r="414" spans="65:67" s="279" customFormat="1">
      <c r="BM414" s="252"/>
      <c r="BN414" s="252"/>
      <c r="BO414" s="252"/>
    </row>
    <row r="415" spans="65:67" s="279" customFormat="1">
      <c r="BM415" s="252"/>
      <c r="BN415" s="252"/>
      <c r="BO415" s="252"/>
    </row>
    <row r="416" spans="65:67" s="279" customFormat="1">
      <c r="BM416" s="252"/>
      <c r="BN416" s="252"/>
      <c r="BO416" s="252"/>
    </row>
    <row r="417" spans="65:67" s="279" customFormat="1">
      <c r="BM417" s="252"/>
      <c r="BN417" s="252"/>
      <c r="BO417" s="252"/>
    </row>
    <row r="418" spans="65:67" s="279" customFormat="1">
      <c r="BM418" s="252"/>
      <c r="BN418" s="252"/>
      <c r="BO418" s="252"/>
    </row>
    <row r="419" spans="65:67" s="279" customFormat="1">
      <c r="BM419" s="252"/>
      <c r="BN419" s="252"/>
      <c r="BO419" s="252"/>
    </row>
    <row r="420" spans="65:67" s="279" customFormat="1">
      <c r="BM420" s="252"/>
      <c r="BN420" s="252"/>
      <c r="BO420" s="252"/>
    </row>
    <row r="421" spans="65:67" s="279" customFormat="1">
      <c r="BM421" s="252"/>
      <c r="BN421" s="252"/>
      <c r="BO421" s="252"/>
    </row>
    <row r="422" spans="65:67" s="279" customFormat="1">
      <c r="BM422" s="252"/>
      <c r="BN422" s="252"/>
      <c r="BO422" s="252"/>
    </row>
    <row r="423" spans="65:67" s="279" customFormat="1">
      <c r="BM423" s="252"/>
      <c r="BN423" s="252"/>
      <c r="BO423" s="252"/>
    </row>
    <row r="424" spans="65:67" s="279" customFormat="1">
      <c r="BM424" s="252"/>
      <c r="BN424" s="252"/>
      <c r="BO424" s="252"/>
    </row>
    <row r="425" spans="65:67" s="279" customFormat="1">
      <c r="BM425" s="252"/>
      <c r="BN425" s="252"/>
      <c r="BO425" s="252"/>
    </row>
    <row r="426" spans="65:67" s="279" customFormat="1">
      <c r="BM426" s="252"/>
      <c r="BN426" s="252"/>
      <c r="BO426" s="252"/>
    </row>
    <row r="427" spans="65:67" s="279" customFormat="1">
      <c r="BM427" s="252"/>
      <c r="BN427" s="252"/>
      <c r="BO427" s="252"/>
    </row>
    <row r="428" spans="65:67" s="279" customFormat="1">
      <c r="BM428" s="252"/>
      <c r="BN428" s="252"/>
      <c r="BO428" s="252"/>
    </row>
    <row r="429" spans="65:67" s="279" customFormat="1">
      <c r="BM429" s="252"/>
      <c r="BN429" s="252"/>
      <c r="BO429" s="252"/>
    </row>
    <row r="430" spans="65:67" s="279" customFormat="1">
      <c r="BM430" s="252"/>
      <c r="BN430" s="252"/>
      <c r="BO430" s="252"/>
    </row>
    <row r="431" spans="65:67" s="279" customFormat="1">
      <c r="BM431" s="252"/>
      <c r="BN431" s="252"/>
      <c r="BO431" s="252"/>
    </row>
    <row r="432" spans="65:67" s="279" customFormat="1">
      <c r="BM432" s="252"/>
      <c r="BN432" s="252"/>
      <c r="BO432" s="252"/>
    </row>
    <row r="433" spans="65:67" s="279" customFormat="1">
      <c r="BM433" s="252"/>
      <c r="BN433" s="252"/>
      <c r="BO433" s="252"/>
    </row>
    <row r="434" spans="65:67" s="279" customFormat="1">
      <c r="BM434" s="252"/>
      <c r="BN434" s="252"/>
      <c r="BO434" s="252"/>
    </row>
    <row r="435" spans="65:67" s="279" customFormat="1">
      <c r="BM435" s="252"/>
      <c r="BN435" s="252"/>
      <c r="BO435" s="252"/>
    </row>
    <row r="436" spans="65:67" s="279" customFormat="1">
      <c r="BM436" s="252"/>
      <c r="BN436" s="252"/>
      <c r="BO436" s="252"/>
    </row>
    <row r="437" spans="65:67" s="279" customFormat="1">
      <c r="BM437" s="252"/>
      <c r="BN437" s="252"/>
      <c r="BO437" s="252"/>
    </row>
    <row r="438" spans="65:67" s="279" customFormat="1">
      <c r="BM438" s="252"/>
      <c r="BN438" s="252"/>
      <c r="BO438" s="252"/>
    </row>
    <row r="439" spans="65:67" s="279" customFormat="1">
      <c r="BM439" s="252"/>
      <c r="BN439" s="252"/>
      <c r="BO439" s="252"/>
    </row>
    <row r="440" spans="65:67" s="279" customFormat="1">
      <c r="BM440" s="252"/>
      <c r="BN440" s="252"/>
      <c r="BO440" s="252"/>
    </row>
    <row r="441" spans="65:67" s="279" customFormat="1">
      <c r="BM441" s="252"/>
      <c r="BN441" s="252"/>
      <c r="BO441" s="252"/>
    </row>
    <row r="442" spans="65:67" s="279" customFormat="1">
      <c r="BM442" s="252"/>
      <c r="BN442" s="252"/>
      <c r="BO442" s="252"/>
    </row>
    <row r="443" spans="65:67" s="279" customFormat="1">
      <c r="BM443" s="252"/>
      <c r="BN443" s="252"/>
      <c r="BO443" s="252"/>
    </row>
    <row r="444" spans="65:67" s="279" customFormat="1">
      <c r="BM444" s="252"/>
      <c r="BN444" s="252"/>
      <c r="BO444" s="252"/>
    </row>
    <row r="445" spans="65:67" s="279" customFormat="1">
      <c r="BM445" s="252"/>
      <c r="BN445" s="252"/>
      <c r="BO445" s="252"/>
    </row>
    <row r="446" spans="65:67" s="279" customFormat="1">
      <c r="BM446" s="252"/>
      <c r="BN446" s="252"/>
      <c r="BO446" s="252"/>
    </row>
    <row r="447" spans="65:67" s="279" customFormat="1">
      <c r="BM447" s="252"/>
      <c r="BN447" s="252"/>
      <c r="BO447" s="252"/>
    </row>
    <row r="448" spans="65:67" s="279" customFormat="1">
      <c r="BM448" s="252"/>
      <c r="BN448" s="252"/>
      <c r="BO448" s="252"/>
    </row>
    <row r="449" spans="65:67" s="279" customFormat="1">
      <c r="BM449" s="252"/>
      <c r="BN449" s="252"/>
      <c r="BO449" s="252"/>
    </row>
    <row r="450" spans="65:67" s="279" customFormat="1">
      <c r="BM450" s="252"/>
      <c r="BN450" s="252"/>
      <c r="BO450" s="252"/>
    </row>
    <row r="451" spans="65:67" s="279" customFormat="1">
      <c r="BM451" s="252"/>
      <c r="BN451" s="252"/>
      <c r="BO451" s="252"/>
    </row>
    <row r="452" spans="65:67" s="279" customFormat="1">
      <c r="BM452" s="252"/>
      <c r="BN452" s="252"/>
      <c r="BO452" s="252"/>
    </row>
    <row r="453" spans="65:67" s="279" customFormat="1">
      <c r="BM453" s="252"/>
      <c r="BN453" s="252"/>
      <c r="BO453" s="252"/>
    </row>
    <row r="454" spans="65:67" s="279" customFormat="1">
      <c r="BM454" s="252"/>
      <c r="BN454" s="252"/>
      <c r="BO454" s="252"/>
    </row>
    <row r="455" spans="65:67" s="279" customFormat="1">
      <c r="BM455" s="252"/>
      <c r="BN455" s="252"/>
      <c r="BO455" s="252"/>
    </row>
    <row r="456" spans="65:67" s="279" customFormat="1">
      <c r="BM456" s="252"/>
      <c r="BN456" s="252"/>
      <c r="BO456" s="252"/>
    </row>
    <row r="457" spans="65:67" s="279" customFormat="1">
      <c r="BM457" s="252"/>
      <c r="BN457" s="252"/>
      <c r="BO457" s="252"/>
    </row>
    <row r="458" spans="65:67" s="279" customFormat="1">
      <c r="BM458" s="252"/>
      <c r="BN458" s="252"/>
      <c r="BO458" s="252"/>
    </row>
    <row r="459" spans="65:67" s="279" customFormat="1">
      <c r="BM459" s="252"/>
      <c r="BN459" s="252"/>
      <c r="BO459" s="252"/>
    </row>
    <row r="460" spans="65:67" s="279" customFormat="1">
      <c r="BM460" s="252"/>
      <c r="BN460" s="252"/>
      <c r="BO460" s="252"/>
    </row>
    <row r="461" spans="65:67" s="279" customFormat="1">
      <c r="BM461" s="252"/>
      <c r="BN461" s="252"/>
      <c r="BO461" s="252"/>
    </row>
    <row r="462" spans="65:67" s="279" customFormat="1">
      <c r="BM462" s="252"/>
      <c r="BN462" s="252"/>
      <c r="BO462" s="252"/>
    </row>
    <row r="463" spans="65:67" s="279" customFormat="1">
      <c r="BM463" s="252"/>
      <c r="BN463" s="252"/>
      <c r="BO463" s="252"/>
    </row>
    <row r="464" spans="65:67" s="279" customFormat="1">
      <c r="BM464" s="252"/>
      <c r="BN464" s="252"/>
      <c r="BO464" s="252"/>
    </row>
    <row r="465" spans="65:67" s="279" customFormat="1">
      <c r="BM465" s="252"/>
      <c r="BN465" s="252"/>
      <c r="BO465" s="252"/>
    </row>
    <row r="466" spans="65:67" s="279" customFormat="1">
      <c r="BM466" s="252"/>
      <c r="BN466" s="252"/>
      <c r="BO466" s="252"/>
    </row>
    <row r="467" spans="65:67" s="279" customFormat="1">
      <c r="BM467" s="252"/>
      <c r="BN467" s="252"/>
      <c r="BO467" s="252"/>
    </row>
    <row r="468" spans="65:67" s="279" customFormat="1">
      <c r="BM468" s="252"/>
      <c r="BN468" s="252"/>
      <c r="BO468" s="252"/>
    </row>
    <row r="469" spans="65:67" s="279" customFormat="1">
      <c r="BM469" s="252"/>
      <c r="BN469" s="252"/>
      <c r="BO469" s="252"/>
    </row>
    <row r="470" spans="65:67" s="279" customFormat="1">
      <c r="BM470" s="252"/>
      <c r="BN470" s="252"/>
      <c r="BO470" s="252"/>
    </row>
    <row r="471" spans="65:67" s="279" customFormat="1">
      <c r="BM471" s="252"/>
      <c r="BN471" s="252"/>
      <c r="BO471" s="252"/>
    </row>
    <row r="472" spans="65:67" s="279" customFormat="1">
      <c r="BM472" s="252"/>
      <c r="BN472" s="252"/>
      <c r="BO472" s="252"/>
    </row>
    <row r="473" spans="65:67" s="279" customFormat="1">
      <c r="BM473" s="252"/>
      <c r="BN473" s="252"/>
      <c r="BO473" s="252"/>
    </row>
    <row r="474" spans="65:67" s="279" customFormat="1">
      <c r="BM474" s="252"/>
      <c r="BN474" s="252"/>
      <c r="BO474" s="252"/>
    </row>
    <row r="475" spans="65:67" s="279" customFormat="1">
      <c r="BM475" s="252"/>
      <c r="BN475" s="252"/>
      <c r="BO475" s="252"/>
    </row>
    <row r="476" spans="65:67" s="279" customFormat="1">
      <c r="BM476" s="252"/>
      <c r="BN476" s="252"/>
      <c r="BO476" s="252"/>
    </row>
    <row r="477" spans="65:67" s="279" customFormat="1">
      <c r="BM477" s="252"/>
      <c r="BN477" s="252"/>
      <c r="BO477" s="252"/>
    </row>
    <row r="478" spans="65:67" s="279" customFormat="1">
      <c r="BM478" s="252"/>
      <c r="BN478" s="252"/>
      <c r="BO478" s="252"/>
    </row>
    <row r="479" spans="65:67" s="279" customFormat="1">
      <c r="BM479" s="252"/>
      <c r="BN479" s="252"/>
      <c r="BO479" s="252"/>
    </row>
    <row r="480" spans="65:67" s="279" customFormat="1">
      <c r="BM480" s="252"/>
      <c r="BN480" s="252"/>
      <c r="BO480" s="252"/>
    </row>
    <row r="481" spans="65:67" s="279" customFormat="1">
      <c r="BM481" s="252"/>
      <c r="BN481" s="252"/>
      <c r="BO481" s="252"/>
    </row>
    <row r="482" spans="65:67" s="279" customFormat="1">
      <c r="BM482" s="252"/>
      <c r="BN482" s="252"/>
      <c r="BO482" s="252"/>
    </row>
    <row r="483" spans="65:67" s="279" customFormat="1">
      <c r="BM483" s="252"/>
      <c r="BN483" s="252"/>
      <c r="BO483" s="252"/>
    </row>
    <row r="484" spans="65:67" s="279" customFormat="1">
      <c r="BM484" s="252"/>
      <c r="BN484" s="252"/>
      <c r="BO484" s="252"/>
    </row>
    <row r="485" spans="65:67" s="279" customFormat="1">
      <c r="BM485" s="252"/>
      <c r="BN485" s="252"/>
      <c r="BO485" s="252"/>
    </row>
    <row r="486" spans="65:67" s="279" customFormat="1">
      <c r="BM486" s="252"/>
      <c r="BN486" s="252"/>
      <c r="BO486" s="252"/>
    </row>
    <row r="487" spans="65:67" s="279" customFormat="1">
      <c r="BM487" s="252"/>
      <c r="BN487" s="252"/>
      <c r="BO487" s="252"/>
    </row>
    <row r="488" spans="65:67" s="279" customFormat="1">
      <c r="BM488" s="252"/>
      <c r="BN488" s="252"/>
      <c r="BO488" s="252"/>
    </row>
    <row r="489" spans="65:67" s="279" customFormat="1">
      <c r="BM489" s="252"/>
      <c r="BN489" s="252"/>
      <c r="BO489" s="252"/>
    </row>
    <row r="490" spans="65:67" s="279" customFormat="1">
      <c r="BM490" s="252"/>
      <c r="BN490" s="252"/>
      <c r="BO490" s="252"/>
    </row>
    <row r="491" spans="65:67" s="279" customFormat="1">
      <c r="BM491" s="252"/>
      <c r="BN491" s="252"/>
      <c r="BO491" s="252"/>
    </row>
    <row r="492" spans="65:67" s="279" customFormat="1">
      <c r="BM492" s="252"/>
      <c r="BN492" s="252"/>
      <c r="BO492" s="252"/>
    </row>
    <row r="493" spans="65:67" s="279" customFormat="1">
      <c r="BM493" s="252"/>
      <c r="BN493" s="252"/>
      <c r="BO493" s="252"/>
    </row>
    <row r="494" spans="65:67" s="279" customFormat="1">
      <c r="BM494" s="252"/>
      <c r="BN494" s="252"/>
      <c r="BO494" s="252"/>
    </row>
    <row r="495" spans="65:67" s="279" customFormat="1">
      <c r="BM495" s="252"/>
      <c r="BN495" s="252"/>
      <c r="BO495" s="252"/>
    </row>
    <row r="496" spans="65:67" s="279" customFormat="1">
      <c r="BM496" s="252"/>
      <c r="BN496" s="252"/>
      <c r="BO496" s="252"/>
    </row>
    <row r="497" spans="65:67" s="279" customFormat="1">
      <c r="BM497" s="252"/>
      <c r="BN497" s="252"/>
      <c r="BO497" s="252"/>
    </row>
    <row r="498" spans="65:67" s="279" customFormat="1">
      <c r="BM498" s="252"/>
      <c r="BN498" s="252"/>
      <c r="BO498" s="252"/>
    </row>
    <row r="499" spans="65:67" s="279" customFormat="1">
      <c r="BM499" s="252"/>
      <c r="BN499" s="252"/>
      <c r="BO499" s="252"/>
    </row>
    <row r="500" spans="65:67" s="279" customFormat="1">
      <c r="BM500" s="252"/>
      <c r="BN500" s="252"/>
      <c r="BO500" s="252"/>
    </row>
    <row r="501" spans="65:67" s="279" customFormat="1">
      <c r="BM501" s="252"/>
      <c r="BN501" s="252"/>
      <c r="BO501" s="252"/>
    </row>
    <row r="502" spans="65:67" s="279" customFormat="1">
      <c r="BM502" s="252"/>
      <c r="BN502" s="252"/>
      <c r="BO502" s="252"/>
    </row>
    <row r="503" spans="65:67" s="279" customFormat="1">
      <c r="BM503" s="252"/>
      <c r="BN503" s="252"/>
      <c r="BO503" s="252"/>
    </row>
    <row r="504" spans="65:67" s="279" customFormat="1">
      <c r="BM504" s="252"/>
      <c r="BN504" s="252"/>
      <c r="BO504" s="252"/>
    </row>
    <row r="505" spans="65:67" s="279" customFormat="1">
      <c r="BM505" s="252"/>
      <c r="BN505" s="252"/>
      <c r="BO505" s="252"/>
    </row>
    <row r="506" spans="65:67" s="279" customFormat="1">
      <c r="BM506" s="252"/>
      <c r="BN506" s="252"/>
      <c r="BO506" s="252"/>
    </row>
    <row r="507" spans="65:67" s="279" customFormat="1">
      <c r="BM507" s="252"/>
      <c r="BN507" s="252"/>
      <c r="BO507" s="252"/>
    </row>
    <row r="508" spans="65:67" s="279" customFormat="1">
      <c r="BM508" s="252"/>
      <c r="BN508" s="252"/>
      <c r="BO508" s="252"/>
    </row>
    <row r="509" spans="65:67" s="279" customFormat="1">
      <c r="BM509" s="252"/>
      <c r="BN509" s="252"/>
      <c r="BO509" s="252"/>
    </row>
    <row r="510" spans="65:67" s="279" customFormat="1">
      <c r="BM510" s="252"/>
      <c r="BN510" s="252"/>
      <c r="BO510" s="252"/>
    </row>
    <row r="511" spans="65:67" s="279" customFormat="1">
      <c r="BM511" s="252"/>
      <c r="BN511" s="252"/>
      <c r="BO511" s="252"/>
    </row>
    <row r="512" spans="65:67" s="279" customFormat="1">
      <c r="BM512" s="252"/>
      <c r="BN512" s="252"/>
      <c r="BO512" s="252"/>
    </row>
    <row r="513" spans="65:67" s="279" customFormat="1">
      <c r="BM513" s="252"/>
      <c r="BN513" s="252"/>
      <c r="BO513" s="252"/>
    </row>
    <row r="514" spans="65:67" s="279" customFormat="1">
      <c r="BM514" s="252"/>
      <c r="BN514" s="252"/>
      <c r="BO514" s="252"/>
    </row>
    <row r="515" spans="65:67" s="279" customFormat="1">
      <c r="BM515" s="252"/>
      <c r="BN515" s="252"/>
      <c r="BO515" s="252"/>
    </row>
    <row r="516" spans="65:67" s="279" customFormat="1">
      <c r="BM516" s="252"/>
      <c r="BN516" s="252"/>
      <c r="BO516" s="252"/>
    </row>
    <row r="517" spans="65:67" s="279" customFormat="1">
      <c r="BM517" s="252"/>
      <c r="BN517" s="252"/>
      <c r="BO517" s="252"/>
    </row>
    <row r="518" spans="65:67" s="279" customFormat="1">
      <c r="BM518" s="252"/>
      <c r="BN518" s="252"/>
      <c r="BO518" s="252"/>
    </row>
    <row r="519" spans="65:67" s="279" customFormat="1">
      <c r="BM519" s="252"/>
      <c r="BN519" s="252"/>
      <c r="BO519" s="252"/>
    </row>
    <row r="520" spans="65:67" s="279" customFormat="1">
      <c r="BM520" s="252"/>
      <c r="BN520" s="252"/>
      <c r="BO520" s="252"/>
    </row>
    <row r="521" spans="65:67" s="279" customFormat="1">
      <c r="BM521" s="252"/>
      <c r="BN521" s="252"/>
      <c r="BO521" s="252"/>
    </row>
    <row r="522" spans="65:67" s="279" customFormat="1">
      <c r="BM522" s="252"/>
      <c r="BN522" s="252"/>
      <c r="BO522" s="252"/>
    </row>
    <row r="523" spans="65:67" s="279" customFormat="1">
      <c r="BM523" s="252"/>
      <c r="BN523" s="252"/>
      <c r="BO523" s="252"/>
    </row>
    <row r="524" spans="65:67" s="279" customFormat="1">
      <c r="BM524" s="252"/>
      <c r="BN524" s="252"/>
      <c r="BO524" s="252"/>
    </row>
    <row r="525" spans="65:67" s="279" customFormat="1">
      <c r="BM525" s="252"/>
      <c r="BN525" s="252"/>
      <c r="BO525" s="252"/>
    </row>
    <row r="526" spans="65:67" s="279" customFormat="1">
      <c r="BM526" s="252"/>
      <c r="BN526" s="252"/>
      <c r="BO526" s="252"/>
    </row>
    <row r="527" spans="65:67" s="279" customFormat="1">
      <c r="BM527" s="252"/>
      <c r="BN527" s="252"/>
      <c r="BO527" s="252"/>
    </row>
    <row r="528" spans="65:67" s="279" customFormat="1">
      <c r="BM528" s="252"/>
      <c r="BN528" s="252"/>
      <c r="BO528" s="252"/>
    </row>
    <row r="529" spans="65:67" s="279" customFormat="1">
      <c r="BM529" s="252"/>
      <c r="BN529" s="252"/>
      <c r="BO529" s="252"/>
    </row>
    <row r="530" spans="65:67" s="279" customFormat="1">
      <c r="BM530" s="252"/>
      <c r="BN530" s="252"/>
      <c r="BO530" s="252"/>
    </row>
    <row r="531" spans="65:67" s="279" customFormat="1">
      <c r="BM531" s="252"/>
      <c r="BN531" s="252"/>
      <c r="BO531" s="252"/>
    </row>
    <row r="532" spans="65:67" s="279" customFormat="1">
      <c r="BM532" s="252"/>
      <c r="BN532" s="252"/>
      <c r="BO532" s="252"/>
    </row>
    <row r="533" spans="65:67" s="279" customFormat="1">
      <c r="BM533" s="252"/>
      <c r="BN533" s="252"/>
      <c r="BO533" s="252"/>
    </row>
    <row r="534" spans="65:67" s="279" customFormat="1">
      <c r="BM534" s="252"/>
      <c r="BN534" s="252"/>
      <c r="BO534" s="252"/>
    </row>
    <row r="535" spans="65:67" s="279" customFormat="1">
      <c r="BM535" s="252"/>
      <c r="BN535" s="252"/>
      <c r="BO535" s="252"/>
    </row>
    <row r="536" spans="65:67" s="279" customFormat="1">
      <c r="BM536" s="252"/>
      <c r="BN536" s="252"/>
      <c r="BO536" s="252"/>
    </row>
    <row r="537" spans="65:67" s="279" customFormat="1">
      <c r="BM537" s="252"/>
      <c r="BN537" s="252"/>
      <c r="BO537" s="252"/>
    </row>
    <row r="538" spans="65:67" s="279" customFormat="1">
      <c r="BM538" s="252"/>
      <c r="BN538" s="252"/>
      <c r="BO538" s="252"/>
    </row>
    <row r="539" spans="65:67" s="279" customFormat="1">
      <c r="BM539" s="252"/>
      <c r="BN539" s="252"/>
      <c r="BO539" s="252"/>
    </row>
    <row r="540" spans="65:67" s="279" customFormat="1">
      <c r="BM540" s="252"/>
      <c r="BN540" s="252"/>
      <c r="BO540" s="252"/>
    </row>
    <row r="541" spans="65:67" s="279" customFormat="1">
      <c r="BM541" s="252"/>
      <c r="BN541" s="252"/>
      <c r="BO541" s="252"/>
    </row>
    <row r="542" spans="65:67" s="279" customFormat="1">
      <c r="BM542" s="252"/>
      <c r="BN542" s="252"/>
      <c r="BO542" s="252"/>
    </row>
    <row r="543" spans="65:67" s="279" customFormat="1">
      <c r="BM543" s="252"/>
      <c r="BN543" s="252"/>
      <c r="BO543" s="252"/>
    </row>
    <row r="544" spans="65:67" s="279" customFormat="1">
      <c r="BM544" s="252"/>
      <c r="BN544" s="252"/>
      <c r="BO544" s="252"/>
    </row>
    <row r="545" spans="65:67" s="279" customFormat="1">
      <c r="BM545" s="252"/>
      <c r="BN545" s="252"/>
      <c r="BO545" s="252"/>
    </row>
    <row r="546" spans="65:67" s="279" customFormat="1">
      <c r="BM546" s="252"/>
      <c r="BN546" s="252"/>
      <c r="BO546" s="252"/>
    </row>
    <row r="547" spans="65:67" s="279" customFormat="1">
      <c r="BM547" s="252"/>
      <c r="BN547" s="252"/>
      <c r="BO547" s="252"/>
    </row>
    <row r="548" spans="65:67" s="279" customFormat="1">
      <c r="BM548" s="252"/>
      <c r="BN548" s="252"/>
      <c r="BO548" s="252"/>
    </row>
    <row r="549" spans="65:67" s="279" customFormat="1">
      <c r="BM549" s="252"/>
      <c r="BN549" s="252"/>
      <c r="BO549" s="252"/>
    </row>
    <row r="550" spans="65:67" s="279" customFormat="1">
      <c r="BM550" s="252"/>
      <c r="BN550" s="252"/>
      <c r="BO550" s="252"/>
    </row>
    <row r="551" spans="65:67" s="279" customFormat="1">
      <c r="BM551" s="252"/>
      <c r="BN551" s="252"/>
      <c r="BO551" s="252"/>
    </row>
    <row r="552" spans="65:67" s="279" customFormat="1">
      <c r="BM552" s="252"/>
      <c r="BN552" s="252"/>
      <c r="BO552" s="252"/>
    </row>
    <row r="553" spans="65:67" s="279" customFormat="1">
      <c r="BM553" s="252"/>
      <c r="BN553" s="252"/>
      <c r="BO553" s="252"/>
    </row>
    <row r="554" spans="65:67" s="279" customFormat="1">
      <c r="BM554" s="252"/>
      <c r="BN554" s="252"/>
      <c r="BO554" s="252"/>
    </row>
    <row r="555" spans="65:67" s="279" customFormat="1">
      <c r="BM555" s="252"/>
      <c r="BN555" s="252"/>
      <c r="BO555" s="252"/>
    </row>
    <row r="556" spans="65:67" s="279" customFormat="1">
      <c r="BM556" s="252"/>
      <c r="BN556" s="252"/>
      <c r="BO556" s="252"/>
    </row>
    <row r="557" spans="65:67" s="279" customFormat="1">
      <c r="BM557" s="252"/>
      <c r="BN557" s="252"/>
      <c r="BO557" s="252"/>
    </row>
    <row r="558" spans="65:67" s="279" customFormat="1">
      <c r="BM558" s="252"/>
      <c r="BN558" s="252"/>
      <c r="BO558" s="252"/>
    </row>
    <row r="559" spans="65:67" s="279" customFormat="1">
      <c r="BM559" s="252"/>
      <c r="BN559" s="252"/>
      <c r="BO559" s="252"/>
    </row>
    <row r="560" spans="65:67" s="279" customFormat="1">
      <c r="BM560" s="252"/>
      <c r="BN560" s="252"/>
      <c r="BO560" s="252"/>
    </row>
    <row r="561" spans="65:67" s="279" customFormat="1">
      <c r="BM561" s="252"/>
      <c r="BN561" s="252"/>
      <c r="BO561" s="252"/>
    </row>
    <row r="562" spans="65:67" s="279" customFormat="1">
      <c r="BM562" s="252"/>
      <c r="BN562" s="252"/>
      <c r="BO562" s="252"/>
    </row>
    <row r="563" spans="65:67" s="279" customFormat="1">
      <c r="BM563" s="252"/>
      <c r="BN563" s="252"/>
      <c r="BO563" s="252"/>
    </row>
    <row r="564" spans="65:67" s="279" customFormat="1">
      <c r="BM564" s="252"/>
      <c r="BN564" s="252"/>
      <c r="BO564" s="252"/>
    </row>
    <row r="565" spans="65:67" s="279" customFormat="1">
      <c r="BM565" s="252"/>
      <c r="BN565" s="252"/>
      <c r="BO565" s="252"/>
    </row>
    <row r="566" spans="65:67" s="279" customFormat="1">
      <c r="BM566" s="252"/>
      <c r="BN566" s="252"/>
      <c r="BO566" s="252"/>
    </row>
    <row r="567" spans="65:67" s="279" customFormat="1">
      <c r="BM567" s="252"/>
      <c r="BN567" s="252"/>
      <c r="BO567" s="252"/>
    </row>
    <row r="568" spans="65:67" s="279" customFormat="1">
      <c r="BM568" s="252"/>
      <c r="BN568" s="252"/>
      <c r="BO568" s="252"/>
    </row>
    <row r="569" spans="65:67" s="279" customFormat="1">
      <c r="BM569" s="252"/>
      <c r="BN569" s="252"/>
      <c r="BO569" s="252"/>
    </row>
    <row r="570" spans="65:67" s="279" customFormat="1">
      <c r="BM570" s="252"/>
      <c r="BN570" s="252"/>
      <c r="BO570" s="252"/>
    </row>
    <row r="571" spans="65:67" s="279" customFormat="1">
      <c r="BM571" s="252"/>
      <c r="BN571" s="252"/>
      <c r="BO571" s="252"/>
    </row>
    <row r="572" spans="65:67" s="279" customFormat="1">
      <c r="BM572" s="252"/>
      <c r="BN572" s="252"/>
      <c r="BO572" s="252"/>
    </row>
    <row r="573" spans="65:67" s="279" customFormat="1">
      <c r="BM573" s="252"/>
      <c r="BN573" s="252"/>
      <c r="BO573" s="252"/>
    </row>
    <row r="574" spans="65:67" s="279" customFormat="1">
      <c r="BM574" s="252"/>
      <c r="BN574" s="252"/>
      <c r="BO574" s="252"/>
    </row>
    <row r="575" spans="65:67" s="279" customFormat="1">
      <c r="BM575" s="252"/>
      <c r="BN575" s="252"/>
      <c r="BO575" s="252"/>
    </row>
    <row r="576" spans="65:67" s="279" customFormat="1">
      <c r="BM576" s="252"/>
      <c r="BN576" s="252"/>
      <c r="BO576" s="252"/>
    </row>
    <row r="577" spans="65:67" s="279" customFormat="1">
      <c r="BM577" s="252"/>
      <c r="BN577" s="252"/>
      <c r="BO577" s="252"/>
    </row>
    <row r="578" spans="65:67" s="279" customFormat="1">
      <c r="BM578" s="252"/>
      <c r="BN578" s="252"/>
      <c r="BO578" s="252"/>
    </row>
    <row r="579" spans="65:67" s="279" customFormat="1">
      <c r="BM579" s="252"/>
      <c r="BN579" s="252"/>
      <c r="BO579" s="252"/>
    </row>
    <row r="580" spans="65:67" s="279" customFormat="1">
      <c r="BM580" s="252"/>
      <c r="BN580" s="252"/>
      <c r="BO580" s="252"/>
    </row>
    <row r="581" spans="65:67" s="279" customFormat="1">
      <c r="BM581" s="252"/>
      <c r="BN581" s="252"/>
      <c r="BO581" s="252"/>
    </row>
    <row r="582" spans="65:67" s="279" customFormat="1">
      <c r="BM582" s="252"/>
      <c r="BN582" s="252"/>
      <c r="BO582" s="252"/>
    </row>
    <row r="583" spans="65:67" s="279" customFormat="1">
      <c r="BM583" s="252"/>
      <c r="BN583" s="252"/>
      <c r="BO583" s="252"/>
    </row>
    <row r="584" spans="65:67" s="279" customFormat="1">
      <c r="BM584" s="252"/>
      <c r="BN584" s="252"/>
      <c r="BO584" s="252"/>
    </row>
    <row r="585" spans="65:67" s="279" customFormat="1">
      <c r="BM585" s="252"/>
      <c r="BN585" s="252"/>
      <c r="BO585" s="252"/>
    </row>
    <row r="586" spans="65:67" s="279" customFormat="1">
      <c r="BM586" s="252"/>
      <c r="BN586" s="252"/>
      <c r="BO586" s="252"/>
    </row>
    <row r="587" spans="65:67" s="279" customFormat="1">
      <c r="BM587" s="252"/>
      <c r="BN587" s="252"/>
      <c r="BO587" s="252"/>
    </row>
    <row r="588" spans="65:67" s="279" customFormat="1">
      <c r="BM588" s="252"/>
      <c r="BN588" s="252"/>
      <c r="BO588" s="252"/>
    </row>
    <row r="589" spans="65:67" s="279" customFormat="1">
      <c r="BM589" s="252"/>
      <c r="BN589" s="252"/>
      <c r="BO589" s="252"/>
    </row>
    <row r="590" spans="65:67" s="279" customFormat="1">
      <c r="BM590" s="252"/>
      <c r="BN590" s="252"/>
      <c r="BO590" s="252"/>
    </row>
    <row r="591" spans="65:67" s="279" customFormat="1">
      <c r="BM591" s="252"/>
      <c r="BN591" s="252"/>
      <c r="BO591" s="252"/>
    </row>
    <row r="592" spans="65:67" s="279" customFormat="1">
      <c r="BM592" s="252"/>
      <c r="BN592" s="252"/>
      <c r="BO592" s="252"/>
    </row>
    <row r="593" spans="65:67" s="279" customFormat="1">
      <c r="BM593" s="252"/>
      <c r="BN593" s="252"/>
      <c r="BO593" s="252"/>
    </row>
    <row r="594" spans="65:67" s="279" customFormat="1">
      <c r="BM594" s="252"/>
      <c r="BN594" s="252"/>
      <c r="BO594" s="252"/>
    </row>
    <row r="595" spans="65:67" s="279" customFormat="1">
      <c r="BM595" s="252"/>
      <c r="BN595" s="252"/>
      <c r="BO595" s="252"/>
    </row>
    <row r="596" spans="65:67" s="279" customFormat="1">
      <c r="BM596" s="252"/>
      <c r="BN596" s="252"/>
      <c r="BO596" s="252"/>
    </row>
    <row r="597" spans="65:67" s="279" customFormat="1">
      <c r="BM597" s="252"/>
      <c r="BN597" s="252"/>
      <c r="BO597" s="252"/>
    </row>
    <row r="598" spans="65:67" s="279" customFormat="1">
      <c r="BM598" s="252"/>
      <c r="BN598" s="252"/>
      <c r="BO598" s="252"/>
    </row>
    <row r="599" spans="65:67" s="279" customFormat="1">
      <c r="BM599" s="252"/>
      <c r="BN599" s="252"/>
      <c r="BO599" s="252"/>
    </row>
    <row r="600" spans="65:67" s="279" customFormat="1">
      <c r="BM600" s="252"/>
      <c r="BN600" s="252"/>
      <c r="BO600" s="252"/>
    </row>
    <row r="601" spans="65:67" s="279" customFormat="1">
      <c r="BM601" s="252"/>
      <c r="BN601" s="252"/>
      <c r="BO601" s="252"/>
    </row>
    <row r="602" spans="65:67" s="279" customFormat="1">
      <c r="BM602" s="252"/>
      <c r="BN602" s="252"/>
      <c r="BO602" s="252"/>
    </row>
    <row r="603" spans="65:67" s="279" customFormat="1">
      <c r="BM603" s="252"/>
      <c r="BN603" s="252"/>
      <c r="BO603" s="252"/>
    </row>
    <row r="604" spans="65:67" s="279" customFormat="1">
      <c r="BM604" s="252"/>
      <c r="BN604" s="252"/>
      <c r="BO604" s="252"/>
    </row>
    <row r="605" spans="65:67" s="279" customFormat="1">
      <c r="BM605" s="252"/>
      <c r="BN605" s="252"/>
      <c r="BO605" s="252"/>
    </row>
    <row r="606" spans="65:67" s="279" customFormat="1">
      <c r="BM606" s="252"/>
      <c r="BN606" s="252"/>
      <c r="BO606" s="252"/>
    </row>
    <row r="607" spans="65:67" s="279" customFormat="1">
      <c r="BM607" s="252"/>
      <c r="BN607" s="252"/>
      <c r="BO607" s="252"/>
    </row>
    <row r="608" spans="65:67" s="279" customFormat="1">
      <c r="BM608" s="252"/>
      <c r="BN608" s="252"/>
      <c r="BO608" s="252"/>
    </row>
    <row r="609" spans="65:67" s="279" customFormat="1">
      <c r="BM609" s="252"/>
      <c r="BN609" s="252"/>
      <c r="BO609" s="252"/>
    </row>
    <row r="610" spans="65:67" s="279" customFormat="1">
      <c r="BM610" s="252"/>
      <c r="BN610" s="252"/>
      <c r="BO610" s="252"/>
    </row>
    <row r="611" spans="65:67" s="279" customFormat="1">
      <c r="BM611" s="252"/>
      <c r="BN611" s="252"/>
      <c r="BO611" s="252"/>
    </row>
    <row r="612" spans="65:67" s="279" customFormat="1">
      <c r="BM612" s="252"/>
      <c r="BN612" s="252"/>
      <c r="BO612" s="252"/>
    </row>
    <row r="613" spans="65:67" s="279" customFormat="1">
      <c r="BM613" s="252"/>
      <c r="BN613" s="252"/>
      <c r="BO613" s="252"/>
    </row>
    <row r="614" spans="65:67" s="279" customFormat="1">
      <c r="BM614" s="252"/>
      <c r="BN614" s="252"/>
      <c r="BO614" s="252"/>
    </row>
    <row r="615" spans="65:67" s="279" customFormat="1">
      <c r="BM615" s="252"/>
      <c r="BN615" s="252"/>
      <c r="BO615" s="252"/>
    </row>
    <row r="616" spans="65:67" s="279" customFormat="1">
      <c r="BM616" s="252"/>
      <c r="BN616" s="252"/>
      <c r="BO616" s="252"/>
    </row>
    <row r="617" spans="65:67" s="279" customFormat="1">
      <c r="BM617" s="252"/>
      <c r="BN617" s="252"/>
      <c r="BO617" s="252"/>
    </row>
    <row r="618" spans="65:67" s="279" customFormat="1">
      <c r="BM618" s="252"/>
      <c r="BN618" s="252"/>
      <c r="BO618" s="252"/>
    </row>
    <row r="619" spans="65:67" s="279" customFormat="1">
      <c r="BM619" s="252"/>
      <c r="BN619" s="252"/>
      <c r="BO619" s="252"/>
    </row>
    <row r="620" spans="65:67" s="279" customFormat="1">
      <c r="BM620" s="252"/>
      <c r="BN620" s="252"/>
      <c r="BO620" s="252"/>
    </row>
    <row r="621" spans="65:67" s="279" customFormat="1">
      <c r="BM621" s="252"/>
      <c r="BN621" s="252"/>
      <c r="BO621" s="252"/>
    </row>
    <row r="622" spans="65:67" s="279" customFormat="1">
      <c r="BM622" s="252"/>
      <c r="BN622" s="252"/>
      <c r="BO622" s="252"/>
    </row>
    <row r="623" spans="65:67" s="279" customFormat="1">
      <c r="BM623" s="252"/>
      <c r="BN623" s="252"/>
      <c r="BO623" s="252"/>
    </row>
    <row r="624" spans="65:67" s="279" customFormat="1">
      <c r="BM624" s="252"/>
      <c r="BN624" s="252"/>
      <c r="BO624" s="252"/>
    </row>
    <row r="625" spans="65:67" s="279" customFormat="1">
      <c r="BM625" s="252"/>
      <c r="BN625" s="252"/>
      <c r="BO625" s="252"/>
    </row>
    <row r="626" spans="65:67" s="279" customFormat="1">
      <c r="BM626" s="252"/>
      <c r="BN626" s="252"/>
      <c r="BO626" s="252"/>
    </row>
    <row r="627" spans="65:67" s="279" customFormat="1">
      <c r="BM627" s="252"/>
      <c r="BN627" s="252"/>
      <c r="BO627" s="252"/>
    </row>
    <row r="628" spans="65:67" s="279" customFormat="1">
      <c r="BM628" s="252"/>
      <c r="BN628" s="252"/>
      <c r="BO628" s="252"/>
    </row>
    <row r="629" spans="65:67" s="279" customFormat="1">
      <c r="BM629" s="252"/>
      <c r="BN629" s="252"/>
      <c r="BO629" s="252"/>
    </row>
    <row r="630" spans="65:67" s="279" customFormat="1">
      <c r="BM630" s="252"/>
      <c r="BN630" s="252"/>
      <c r="BO630" s="252"/>
    </row>
    <row r="631" spans="65:67" s="279" customFormat="1">
      <c r="BM631" s="252"/>
      <c r="BN631" s="252"/>
      <c r="BO631" s="252"/>
    </row>
    <row r="632" spans="65:67" s="279" customFormat="1">
      <c r="BM632" s="252"/>
      <c r="BN632" s="252"/>
      <c r="BO632" s="252"/>
    </row>
    <row r="633" spans="65:67" s="279" customFormat="1">
      <c r="BM633" s="252"/>
      <c r="BN633" s="252"/>
      <c r="BO633" s="252"/>
    </row>
    <row r="634" spans="65:67" s="279" customFormat="1">
      <c r="BM634" s="252"/>
      <c r="BN634" s="252"/>
      <c r="BO634" s="252"/>
    </row>
    <row r="635" spans="65:67" s="279" customFormat="1">
      <c r="BM635" s="252"/>
      <c r="BN635" s="252"/>
      <c r="BO635" s="252"/>
    </row>
    <row r="636" spans="65:67" s="279" customFormat="1">
      <c r="BM636" s="252"/>
      <c r="BN636" s="252"/>
      <c r="BO636" s="252"/>
    </row>
    <row r="637" spans="65:67" s="279" customFormat="1">
      <c r="BM637" s="252"/>
      <c r="BN637" s="252"/>
      <c r="BO637" s="252"/>
    </row>
    <row r="638" spans="65:67" s="279" customFormat="1">
      <c r="BM638" s="252"/>
      <c r="BN638" s="252"/>
      <c r="BO638" s="252"/>
    </row>
    <row r="639" spans="65:67" s="279" customFormat="1">
      <c r="BM639" s="252"/>
      <c r="BN639" s="252"/>
      <c r="BO639" s="252"/>
    </row>
    <row r="640" spans="65:67" s="279" customFormat="1">
      <c r="BM640" s="252"/>
      <c r="BN640" s="252"/>
      <c r="BO640" s="252"/>
    </row>
    <row r="641" spans="65:67" s="279" customFormat="1">
      <c r="BM641" s="252"/>
      <c r="BN641" s="252"/>
      <c r="BO641" s="252"/>
    </row>
    <row r="642" spans="65:67" s="279" customFormat="1">
      <c r="BM642" s="252"/>
      <c r="BN642" s="252"/>
      <c r="BO642" s="252"/>
    </row>
    <row r="643" spans="65:67" s="279" customFormat="1">
      <c r="BM643" s="252"/>
      <c r="BN643" s="252"/>
      <c r="BO643" s="252"/>
    </row>
    <row r="644" spans="65:67" s="279" customFormat="1">
      <c r="BM644" s="252"/>
      <c r="BN644" s="252"/>
      <c r="BO644" s="252"/>
    </row>
    <row r="645" spans="65:67" s="279" customFormat="1">
      <c r="BM645" s="252"/>
      <c r="BN645" s="252"/>
      <c r="BO645" s="252"/>
    </row>
    <row r="646" spans="65:67" s="279" customFormat="1">
      <c r="BM646" s="252"/>
      <c r="BN646" s="252"/>
      <c r="BO646" s="252"/>
    </row>
    <row r="647" spans="65:67" s="279" customFormat="1">
      <c r="BM647" s="252"/>
      <c r="BN647" s="252"/>
      <c r="BO647" s="252"/>
    </row>
    <row r="648" spans="65:67" s="279" customFormat="1">
      <c r="BM648" s="252"/>
      <c r="BN648" s="252"/>
      <c r="BO648" s="252"/>
    </row>
    <row r="649" spans="65:67" s="279" customFormat="1">
      <c r="BM649" s="252"/>
      <c r="BN649" s="252"/>
      <c r="BO649" s="252"/>
    </row>
    <row r="650" spans="65:67" s="279" customFormat="1">
      <c r="BM650" s="252"/>
      <c r="BN650" s="252"/>
      <c r="BO650" s="252"/>
    </row>
    <row r="651" spans="65:67" s="279" customFormat="1">
      <c r="BM651" s="252"/>
      <c r="BN651" s="252"/>
      <c r="BO651" s="252"/>
    </row>
    <row r="652" spans="65:67" s="279" customFormat="1">
      <c r="BM652" s="252"/>
      <c r="BN652" s="252"/>
      <c r="BO652" s="252"/>
    </row>
    <row r="653" spans="65:67" s="279" customFormat="1">
      <c r="BM653" s="252"/>
      <c r="BN653" s="252"/>
      <c r="BO653" s="252"/>
    </row>
    <row r="654" spans="65:67" s="279" customFormat="1">
      <c r="BM654" s="252"/>
      <c r="BN654" s="252"/>
      <c r="BO654" s="252"/>
    </row>
    <row r="655" spans="65:67" s="279" customFormat="1">
      <c r="BM655" s="252"/>
      <c r="BN655" s="252"/>
      <c r="BO655" s="252"/>
    </row>
    <row r="656" spans="65:67" s="279" customFormat="1">
      <c r="BM656" s="252"/>
      <c r="BN656" s="252"/>
      <c r="BO656" s="252"/>
    </row>
    <row r="657" spans="65:67" s="279" customFormat="1">
      <c r="BM657" s="252"/>
      <c r="BN657" s="252"/>
      <c r="BO657" s="252"/>
    </row>
    <row r="658" spans="65:67" s="279" customFormat="1">
      <c r="BM658" s="252"/>
      <c r="BN658" s="252"/>
      <c r="BO658" s="252"/>
    </row>
    <row r="659" spans="65:67" s="279" customFormat="1">
      <c r="BM659" s="252"/>
      <c r="BN659" s="252"/>
      <c r="BO659" s="252"/>
    </row>
    <row r="660" spans="65:67" s="279" customFormat="1">
      <c r="BM660" s="252"/>
      <c r="BN660" s="252"/>
      <c r="BO660" s="252"/>
    </row>
    <row r="661" spans="65:67" s="279" customFormat="1">
      <c r="BM661" s="252"/>
      <c r="BN661" s="252"/>
      <c r="BO661" s="252"/>
    </row>
    <row r="662" spans="65:67" s="279" customFormat="1">
      <c r="BM662" s="252"/>
      <c r="BN662" s="252"/>
      <c r="BO662" s="252"/>
    </row>
    <row r="663" spans="65:67" s="279" customFormat="1">
      <c r="BM663" s="252"/>
      <c r="BN663" s="252"/>
      <c r="BO663" s="252"/>
    </row>
    <row r="664" spans="65:67" s="279" customFormat="1">
      <c r="BM664" s="252"/>
      <c r="BN664" s="252"/>
      <c r="BO664" s="252"/>
    </row>
    <row r="665" spans="65:67" s="279" customFormat="1">
      <c r="BM665" s="252"/>
      <c r="BN665" s="252"/>
      <c r="BO665" s="252"/>
    </row>
    <row r="666" spans="65:67" s="279" customFormat="1">
      <c r="BM666" s="252"/>
      <c r="BN666" s="252"/>
      <c r="BO666" s="252"/>
    </row>
    <row r="667" spans="65:67" s="279" customFormat="1">
      <c r="BM667" s="252"/>
      <c r="BN667" s="252"/>
      <c r="BO667" s="252"/>
    </row>
    <row r="668" spans="65:67" s="279" customFormat="1">
      <c r="BM668" s="252"/>
      <c r="BN668" s="252"/>
      <c r="BO668" s="252"/>
    </row>
    <row r="669" spans="65:67" s="279" customFormat="1">
      <c r="BM669" s="252"/>
      <c r="BN669" s="252"/>
      <c r="BO669" s="252"/>
    </row>
    <row r="670" spans="65:67" s="279" customFormat="1">
      <c r="BM670" s="252"/>
      <c r="BN670" s="252"/>
      <c r="BO670" s="252"/>
    </row>
    <row r="671" spans="65:67" s="279" customFormat="1">
      <c r="BM671" s="252"/>
      <c r="BN671" s="252"/>
      <c r="BO671" s="252"/>
    </row>
    <row r="672" spans="65:67" s="279" customFormat="1">
      <c r="BM672" s="252"/>
      <c r="BN672" s="252"/>
      <c r="BO672" s="252"/>
    </row>
    <row r="673" spans="65:67" s="279" customFormat="1">
      <c r="BM673" s="252"/>
      <c r="BN673" s="252"/>
      <c r="BO673" s="252"/>
    </row>
    <row r="674" spans="65:67" s="279" customFormat="1">
      <c r="BM674" s="252"/>
      <c r="BN674" s="252"/>
      <c r="BO674" s="252"/>
    </row>
    <row r="675" spans="65:67" s="279" customFormat="1">
      <c r="BM675" s="252"/>
      <c r="BN675" s="252"/>
      <c r="BO675" s="252"/>
    </row>
    <row r="676" spans="65:67" s="279" customFormat="1">
      <c r="BM676" s="252"/>
      <c r="BN676" s="252"/>
      <c r="BO676" s="252"/>
    </row>
    <row r="677" spans="65:67" s="279" customFormat="1">
      <c r="BM677" s="252"/>
      <c r="BN677" s="252"/>
      <c r="BO677" s="252"/>
    </row>
    <row r="678" spans="65:67" s="279" customFormat="1">
      <c r="BM678" s="252"/>
      <c r="BN678" s="252"/>
      <c r="BO678" s="252"/>
    </row>
    <row r="679" spans="65:67" s="279" customFormat="1">
      <c r="BM679" s="252"/>
      <c r="BN679" s="252"/>
      <c r="BO679" s="252"/>
    </row>
    <row r="680" spans="65:67" s="279" customFormat="1">
      <c r="BM680" s="252"/>
      <c r="BN680" s="252"/>
      <c r="BO680" s="252"/>
    </row>
    <row r="681" spans="65:67" s="279" customFormat="1">
      <c r="BM681" s="252"/>
      <c r="BN681" s="252"/>
      <c r="BO681" s="252"/>
    </row>
    <row r="682" spans="65:67" s="279" customFormat="1">
      <c r="BM682" s="252"/>
      <c r="BN682" s="252"/>
      <c r="BO682" s="252"/>
    </row>
    <row r="683" spans="65:67" s="279" customFormat="1">
      <c r="BM683" s="252"/>
      <c r="BN683" s="252"/>
      <c r="BO683" s="252"/>
    </row>
    <row r="684" spans="65:67" s="279" customFormat="1">
      <c r="BM684" s="252"/>
      <c r="BN684" s="252"/>
      <c r="BO684" s="252"/>
    </row>
    <row r="685" spans="65:67" s="279" customFormat="1">
      <c r="BM685" s="252"/>
      <c r="BN685" s="252"/>
      <c r="BO685" s="252"/>
    </row>
    <row r="686" spans="65:67" s="279" customFormat="1">
      <c r="BM686" s="252"/>
      <c r="BN686" s="252"/>
      <c r="BO686" s="252"/>
    </row>
    <row r="687" spans="65:67" s="279" customFormat="1">
      <c r="BM687" s="252"/>
      <c r="BN687" s="252"/>
      <c r="BO687" s="252"/>
    </row>
    <row r="688" spans="65:67" s="279" customFormat="1">
      <c r="BM688" s="252"/>
      <c r="BN688" s="252"/>
      <c r="BO688" s="252"/>
    </row>
    <row r="689" spans="65:67" s="279" customFormat="1">
      <c r="BM689" s="252"/>
      <c r="BN689" s="252"/>
      <c r="BO689" s="252"/>
    </row>
    <row r="690" spans="65:67" s="279" customFormat="1">
      <c r="BM690" s="252"/>
      <c r="BN690" s="252"/>
      <c r="BO690" s="252"/>
    </row>
    <row r="691" spans="65:67" s="279" customFormat="1">
      <c r="BM691" s="252"/>
      <c r="BN691" s="252"/>
      <c r="BO691" s="252"/>
    </row>
    <row r="692" spans="65:67" s="279" customFormat="1">
      <c r="BM692" s="252"/>
      <c r="BN692" s="252"/>
      <c r="BO692" s="252"/>
    </row>
    <row r="693" spans="65:67" s="279" customFormat="1">
      <c r="BM693" s="252"/>
      <c r="BN693" s="252"/>
      <c r="BO693" s="252"/>
    </row>
    <row r="694" spans="65:67" s="279" customFormat="1">
      <c r="BM694" s="252"/>
      <c r="BN694" s="252"/>
      <c r="BO694" s="252"/>
    </row>
    <row r="695" spans="65:67" s="279" customFormat="1">
      <c r="BM695" s="252"/>
      <c r="BN695" s="252"/>
      <c r="BO695" s="252"/>
    </row>
    <row r="696" spans="65:67" s="279" customFormat="1">
      <c r="BM696" s="252"/>
      <c r="BN696" s="252"/>
      <c r="BO696" s="252"/>
    </row>
    <row r="697" spans="65:67" s="279" customFormat="1">
      <c r="BM697" s="252"/>
      <c r="BN697" s="252"/>
      <c r="BO697" s="252"/>
    </row>
    <row r="698" spans="65:67" s="279" customFormat="1">
      <c r="BM698" s="252"/>
      <c r="BN698" s="252"/>
      <c r="BO698" s="252"/>
    </row>
    <row r="699" spans="65:67" s="279" customFormat="1">
      <c r="BM699" s="252"/>
      <c r="BN699" s="252"/>
      <c r="BO699" s="252"/>
    </row>
    <row r="700" spans="65:67" s="279" customFormat="1">
      <c r="BM700" s="252"/>
      <c r="BN700" s="252"/>
      <c r="BO700" s="252"/>
    </row>
    <row r="701" spans="65:67" s="279" customFormat="1">
      <c r="BM701" s="252"/>
      <c r="BN701" s="252"/>
      <c r="BO701" s="252"/>
    </row>
    <row r="702" spans="65:67" s="279" customFormat="1">
      <c r="BM702" s="252"/>
      <c r="BN702" s="252"/>
      <c r="BO702" s="252"/>
    </row>
    <row r="703" spans="65:67" s="279" customFormat="1">
      <c r="BM703" s="252"/>
      <c r="BN703" s="252"/>
      <c r="BO703" s="252"/>
    </row>
    <row r="704" spans="65:67" s="279" customFormat="1">
      <c r="BM704" s="252"/>
      <c r="BN704" s="252"/>
      <c r="BO704" s="252"/>
    </row>
    <row r="705" spans="65:67" s="279" customFormat="1">
      <c r="BM705" s="252"/>
      <c r="BN705" s="252"/>
      <c r="BO705" s="252"/>
    </row>
    <row r="706" spans="65:67" s="279" customFormat="1">
      <c r="BM706" s="252"/>
      <c r="BN706" s="252"/>
      <c r="BO706" s="252"/>
    </row>
    <row r="707" spans="65:67" s="279" customFormat="1">
      <c r="BM707" s="252"/>
      <c r="BN707" s="252"/>
      <c r="BO707" s="252"/>
    </row>
    <row r="708" spans="65:67" s="279" customFormat="1">
      <c r="BM708" s="252"/>
      <c r="BN708" s="252"/>
      <c r="BO708" s="252"/>
    </row>
    <row r="709" spans="65:67" s="279" customFormat="1">
      <c r="BM709" s="252"/>
      <c r="BN709" s="252"/>
      <c r="BO709" s="252"/>
    </row>
    <row r="710" spans="65:67" s="279" customFormat="1">
      <c r="BM710" s="252"/>
      <c r="BN710" s="252"/>
      <c r="BO710" s="252"/>
    </row>
    <row r="711" spans="65:67" s="279" customFormat="1">
      <c r="BM711" s="252"/>
      <c r="BN711" s="252"/>
      <c r="BO711" s="252"/>
    </row>
    <row r="712" spans="65:67" s="279" customFormat="1">
      <c r="BM712" s="252"/>
      <c r="BN712" s="252"/>
      <c r="BO712" s="252"/>
    </row>
    <row r="713" spans="65:67" s="279" customFormat="1">
      <c r="BM713" s="252"/>
      <c r="BN713" s="252"/>
      <c r="BO713" s="252"/>
    </row>
    <row r="714" spans="65:67" s="279" customFormat="1">
      <c r="BM714" s="252"/>
      <c r="BN714" s="252"/>
      <c r="BO714" s="252"/>
    </row>
    <row r="715" spans="65:67" s="279" customFormat="1">
      <c r="BM715" s="252"/>
      <c r="BN715" s="252"/>
      <c r="BO715" s="252"/>
    </row>
    <row r="716" spans="65:67" s="279" customFormat="1">
      <c r="BM716" s="252"/>
      <c r="BN716" s="252"/>
      <c r="BO716" s="252"/>
    </row>
    <row r="717" spans="65:67" s="279" customFormat="1">
      <c r="BM717" s="252"/>
      <c r="BN717" s="252"/>
      <c r="BO717" s="252"/>
    </row>
    <row r="718" spans="65:67" s="279" customFormat="1">
      <c r="BM718" s="252"/>
      <c r="BN718" s="252"/>
      <c r="BO718" s="252"/>
    </row>
    <row r="719" spans="65:67" s="279" customFormat="1">
      <c r="BM719" s="252"/>
      <c r="BN719" s="252"/>
      <c r="BO719" s="252"/>
    </row>
    <row r="720" spans="65:67" s="279" customFormat="1">
      <c r="BM720" s="252"/>
      <c r="BN720" s="252"/>
      <c r="BO720" s="252"/>
    </row>
    <row r="721" spans="65:67" s="279" customFormat="1">
      <c r="BM721" s="252"/>
      <c r="BN721" s="252"/>
      <c r="BO721" s="252"/>
    </row>
    <row r="722" spans="65:67" s="279" customFormat="1">
      <c r="BM722" s="252"/>
      <c r="BN722" s="252"/>
      <c r="BO722" s="252"/>
    </row>
    <row r="723" spans="65:67" s="279" customFormat="1">
      <c r="BM723" s="252"/>
      <c r="BN723" s="252"/>
      <c r="BO723" s="252"/>
    </row>
    <row r="724" spans="65:67" s="279" customFormat="1">
      <c r="BM724" s="252"/>
      <c r="BN724" s="252"/>
      <c r="BO724" s="252"/>
    </row>
    <row r="725" spans="65:67" s="279" customFormat="1">
      <c r="BM725" s="252"/>
      <c r="BN725" s="252"/>
      <c r="BO725" s="252"/>
    </row>
    <row r="726" spans="65:67" s="279" customFormat="1">
      <c r="BM726" s="252"/>
      <c r="BN726" s="252"/>
      <c r="BO726" s="252"/>
    </row>
    <row r="727" spans="65:67" s="279" customFormat="1">
      <c r="BM727" s="252"/>
      <c r="BN727" s="252"/>
      <c r="BO727" s="252"/>
    </row>
    <row r="728" spans="65:67" s="279" customFormat="1">
      <c r="BM728" s="252"/>
      <c r="BN728" s="252"/>
      <c r="BO728" s="252"/>
    </row>
    <row r="729" spans="65:67" s="279" customFormat="1">
      <c r="BM729" s="252"/>
      <c r="BN729" s="252"/>
      <c r="BO729" s="252"/>
    </row>
    <row r="730" spans="65:67" s="279" customFormat="1">
      <c r="BM730" s="252"/>
      <c r="BN730" s="252"/>
      <c r="BO730" s="252"/>
    </row>
    <row r="731" spans="65:67" s="279" customFormat="1">
      <c r="BM731" s="252"/>
      <c r="BN731" s="252"/>
      <c r="BO731" s="252"/>
    </row>
    <row r="732" spans="65:67" s="279" customFormat="1">
      <c r="BM732" s="252"/>
      <c r="BN732" s="252"/>
      <c r="BO732" s="252"/>
    </row>
  </sheetData>
  <mergeCells count="35">
    <mergeCell ref="BE4:BG4"/>
    <mergeCell ref="BE5:BF5"/>
    <mergeCell ref="AW4:AY4"/>
    <mergeCell ref="I4:K4"/>
    <mergeCell ref="E5:F5"/>
    <mergeCell ref="I5:J5"/>
    <mergeCell ref="M1:BK1"/>
    <mergeCell ref="M2:BK2"/>
    <mergeCell ref="M3:BK3"/>
    <mergeCell ref="AC4:AE4"/>
    <mergeCell ref="AC5:AD5"/>
    <mergeCell ref="Y4:AA4"/>
    <mergeCell ref="Y5:Z5"/>
    <mergeCell ref="U4:W4"/>
    <mergeCell ref="U5:V5"/>
    <mergeCell ref="BI4:BK4"/>
    <mergeCell ref="BI5:BJ5"/>
    <mergeCell ref="AO4:AQ4"/>
    <mergeCell ref="AS4:AU4"/>
    <mergeCell ref="BA4:BC4"/>
    <mergeCell ref="AW5:AX5"/>
    <mergeCell ref="BA5:BB5"/>
    <mergeCell ref="A4:C4"/>
    <mergeCell ref="A5:B5"/>
    <mergeCell ref="AS5:AT5"/>
    <mergeCell ref="AG4:AI4"/>
    <mergeCell ref="AK4:AM4"/>
    <mergeCell ref="AG5:AH5"/>
    <mergeCell ref="AK5:AL5"/>
    <mergeCell ref="Q4:S4"/>
    <mergeCell ref="Q5:R5"/>
    <mergeCell ref="M4:O4"/>
    <mergeCell ref="M5:N5"/>
    <mergeCell ref="E4:G4"/>
    <mergeCell ref="AO5:AP5"/>
  </mergeCells>
  <printOptions horizontalCentered="1"/>
  <pageMargins left="0.59055118110236227" right="0" top="0.59055118110236227" bottom="0.19685039370078741" header="0" footer="0"/>
  <pageSetup paperSize="9" orientation="portrait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70C0"/>
  </sheetPr>
  <dimension ref="A1:BE51"/>
  <sheetViews>
    <sheetView workbookViewId="0">
      <selection activeCell="C17" sqref="C17"/>
    </sheetView>
  </sheetViews>
  <sheetFormatPr defaultRowHeight="21"/>
  <cols>
    <col min="1" max="1" width="5.625" style="284" customWidth="1"/>
    <col min="2" max="2" width="5.25" style="284" customWidth="1"/>
    <col min="3" max="3" width="9.375" style="284" customWidth="1"/>
    <col min="4" max="6" width="8.375" style="284" customWidth="1"/>
    <col min="7" max="7" width="9.375" style="284" customWidth="1"/>
    <col min="8" max="8" width="11" style="284" customWidth="1"/>
    <col min="9" max="9" width="7.375" style="284" customWidth="1"/>
    <col min="10" max="10" width="1.125" style="284" customWidth="1"/>
    <col min="11" max="11" width="5.875" style="284" hidden="1" customWidth="1"/>
    <col min="12" max="12" width="5.375" style="284" hidden="1" customWidth="1"/>
    <col min="13" max="13" width="9.125" style="284" hidden="1" customWidth="1"/>
    <col min="14" max="14" width="8.75" style="284" hidden="1" customWidth="1"/>
    <col min="15" max="15" width="9.125" style="284" hidden="1" customWidth="1"/>
    <col min="16" max="16" width="7.625" style="284" hidden="1" customWidth="1"/>
    <col min="17" max="17" width="7.375" style="284" hidden="1" customWidth="1"/>
    <col min="18" max="18" width="8.625" style="284" customWidth="1"/>
    <col min="19" max="19" width="7" style="284" hidden="1" customWidth="1"/>
    <col min="20" max="20" width="8" style="286" hidden="1" customWidth="1"/>
    <col min="21" max="21" width="5.375" style="284" hidden="1" customWidth="1"/>
    <col min="22" max="22" width="6.375" style="284" hidden="1" customWidth="1"/>
    <col min="23" max="23" width="6.75" style="284" hidden="1" customWidth="1"/>
    <col min="24" max="38" width="8" style="284" hidden="1" customWidth="1"/>
    <col min="39" max="39" width="2.25" style="284" hidden="1" customWidth="1"/>
    <col min="40" max="40" width="5.375" style="284" hidden="1" customWidth="1"/>
    <col min="41" max="41" width="9.125" style="284" hidden="1" customWidth="1"/>
    <col min="42" max="42" width="8.75" style="284" hidden="1" customWidth="1"/>
    <col min="43" max="43" width="9.125" style="284" hidden="1" customWidth="1"/>
    <col min="44" max="44" width="7.625" style="284" hidden="1" customWidth="1"/>
    <col min="45" max="45" width="7.375" style="284" hidden="1" customWidth="1"/>
    <col min="46" max="46" width="9.375" style="284" customWidth="1"/>
    <col min="47" max="47" width="9" style="284"/>
    <col min="48" max="48" width="11.625" style="284" bestFit="1" customWidth="1"/>
    <col min="49" max="49" width="10.25" style="284" bestFit="1" customWidth="1"/>
    <col min="50" max="50" width="8.625" style="284" customWidth="1"/>
    <col min="51" max="51" width="12.75" style="284" customWidth="1"/>
    <col min="52" max="55" width="9" style="284"/>
    <col min="56" max="56" width="9.875" style="284" bestFit="1" customWidth="1"/>
    <col min="57" max="256" width="9" style="284"/>
    <col min="257" max="257" width="4.75" style="284" customWidth="1"/>
    <col min="258" max="258" width="5.25" style="284" customWidth="1"/>
    <col min="259" max="259" width="9.375" style="284" customWidth="1"/>
    <col min="260" max="262" width="8.375" style="284" customWidth="1"/>
    <col min="263" max="263" width="9.375" style="284" customWidth="1"/>
    <col min="264" max="264" width="11" style="284" customWidth="1"/>
    <col min="265" max="265" width="7.375" style="284" customWidth="1"/>
    <col min="266" max="266" width="1.125" style="284" customWidth="1"/>
    <col min="267" max="273" width="0" style="284" hidden="1" customWidth="1"/>
    <col min="274" max="274" width="8.625" style="284" customWidth="1"/>
    <col min="275" max="301" width="0" style="284" hidden="1" customWidth="1"/>
    <col min="302" max="302" width="9.375" style="284" customWidth="1"/>
    <col min="303" max="512" width="9" style="284"/>
    <col min="513" max="513" width="4.75" style="284" customWidth="1"/>
    <col min="514" max="514" width="5.25" style="284" customWidth="1"/>
    <col min="515" max="515" width="9.375" style="284" customWidth="1"/>
    <col min="516" max="518" width="8.375" style="284" customWidth="1"/>
    <col min="519" max="519" width="9.375" style="284" customWidth="1"/>
    <col min="520" max="520" width="11" style="284" customWidth="1"/>
    <col min="521" max="521" width="7.375" style="284" customWidth="1"/>
    <col min="522" max="522" width="1.125" style="284" customWidth="1"/>
    <col min="523" max="529" width="0" style="284" hidden="1" customWidth="1"/>
    <col min="530" max="530" width="8.625" style="284" customWidth="1"/>
    <col min="531" max="557" width="0" style="284" hidden="1" customWidth="1"/>
    <col min="558" max="558" width="9.375" style="284" customWidth="1"/>
    <col min="559" max="768" width="9" style="284"/>
    <col min="769" max="769" width="4.75" style="284" customWidth="1"/>
    <col min="770" max="770" width="5.25" style="284" customWidth="1"/>
    <col min="771" max="771" width="9.375" style="284" customWidth="1"/>
    <col min="772" max="774" width="8.375" style="284" customWidth="1"/>
    <col min="775" max="775" width="9.375" style="284" customWidth="1"/>
    <col min="776" max="776" width="11" style="284" customWidth="1"/>
    <col min="777" max="777" width="7.375" style="284" customWidth="1"/>
    <col min="778" max="778" width="1.125" style="284" customWidth="1"/>
    <col min="779" max="785" width="0" style="284" hidden="1" customWidth="1"/>
    <col min="786" max="786" width="8.625" style="284" customWidth="1"/>
    <col min="787" max="813" width="0" style="284" hidden="1" customWidth="1"/>
    <col min="814" max="814" width="9.375" style="284" customWidth="1"/>
    <col min="815" max="1024" width="9" style="284"/>
    <col min="1025" max="1025" width="4.75" style="284" customWidth="1"/>
    <col min="1026" max="1026" width="5.25" style="284" customWidth="1"/>
    <col min="1027" max="1027" width="9.375" style="284" customWidth="1"/>
    <col min="1028" max="1030" width="8.375" style="284" customWidth="1"/>
    <col min="1031" max="1031" width="9.375" style="284" customWidth="1"/>
    <col min="1032" max="1032" width="11" style="284" customWidth="1"/>
    <col min="1033" max="1033" width="7.375" style="284" customWidth="1"/>
    <col min="1034" max="1034" width="1.125" style="284" customWidth="1"/>
    <col min="1035" max="1041" width="0" style="284" hidden="1" customWidth="1"/>
    <col min="1042" max="1042" width="8.625" style="284" customWidth="1"/>
    <col min="1043" max="1069" width="0" style="284" hidden="1" customWidth="1"/>
    <col min="1070" max="1070" width="9.375" style="284" customWidth="1"/>
    <col min="1071" max="1280" width="9" style="284"/>
    <col min="1281" max="1281" width="4.75" style="284" customWidth="1"/>
    <col min="1282" max="1282" width="5.25" style="284" customWidth="1"/>
    <col min="1283" max="1283" width="9.375" style="284" customWidth="1"/>
    <col min="1284" max="1286" width="8.375" style="284" customWidth="1"/>
    <col min="1287" max="1287" width="9.375" style="284" customWidth="1"/>
    <col min="1288" max="1288" width="11" style="284" customWidth="1"/>
    <col min="1289" max="1289" width="7.375" style="284" customWidth="1"/>
    <col min="1290" max="1290" width="1.125" style="284" customWidth="1"/>
    <col min="1291" max="1297" width="0" style="284" hidden="1" customWidth="1"/>
    <col min="1298" max="1298" width="8.625" style="284" customWidth="1"/>
    <col min="1299" max="1325" width="0" style="284" hidden="1" customWidth="1"/>
    <col min="1326" max="1326" width="9.375" style="284" customWidth="1"/>
    <col min="1327" max="1536" width="9" style="284"/>
    <col min="1537" max="1537" width="4.75" style="284" customWidth="1"/>
    <col min="1538" max="1538" width="5.25" style="284" customWidth="1"/>
    <col min="1539" max="1539" width="9.375" style="284" customWidth="1"/>
    <col min="1540" max="1542" width="8.375" style="284" customWidth="1"/>
    <col min="1543" max="1543" width="9.375" style="284" customWidth="1"/>
    <col min="1544" max="1544" width="11" style="284" customWidth="1"/>
    <col min="1545" max="1545" width="7.375" style="284" customWidth="1"/>
    <col min="1546" max="1546" width="1.125" style="284" customWidth="1"/>
    <col min="1547" max="1553" width="0" style="284" hidden="1" customWidth="1"/>
    <col min="1554" max="1554" width="8.625" style="284" customWidth="1"/>
    <col min="1555" max="1581" width="0" style="284" hidden="1" customWidth="1"/>
    <col min="1582" max="1582" width="9.375" style="284" customWidth="1"/>
    <col min="1583" max="1792" width="9" style="284"/>
    <col min="1793" max="1793" width="4.75" style="284" customWidth="1"/>
    <col min="1794" max="1794" width="5.25" style="284" customWidth="1"/>
    <col min="1795" max="1795" width="9.375" style="284" customWidth="1"/>
    <col min="1796" max="1798" width="8.375" style="284" customWidth="1"/>
    <col min="1799" max="1799" width="9.375" style="284" customWidth="1"/>
    <col min="1800" max="1800" width="11" style="284" customWidth="1"/>
    <col min="1801" max="1801" width="7.375" style="284" customWidth="1"/>
    <col min="1802" max="1802" width="1.125" style="284" customWidth="1"/>
    <col min="1803" max="1809" width="0" style="284" hidden="1" customWidth="1"/>
    <col min="1810" max="1810" width="8.625" style="284" customWidth="1"/>
    <col min="1811" max="1837" width="0" style="284" hidden="1" customWidth="1"/>
    <col min="1838" max="1838" width="9.375" style="284" customWidth="1"/>
    <col min="1839" max="2048" width="9" style="284"/>
    <col min="2049" max="2049" width="4.75" style="284" customWidth="1"/>
    <col min="2050" max="2050" width="5.25" style="284" customWidth="1"/>
    <col min="2051" max="2051" width="9.375" style="284" customWidth="1"/>
    <col min="2052" max="2054" width="8.375" style="284" customWidth="1"/>
    <col min="2055" max="2055" width="9.375" style="284" customWidth="1"/>
    <col min="2056" max="2056" width="11" style="284" customWidth="1"/>
    <col min="2057" max="2057" width="7.375" style="284" customWidth="1"/>
    <col min="2058" max="2058" width="1.125" style="284" customWidth="1"/>
    <col min="2059" max="2065" width="0" style="284" hidden="1" customWidth="1"/>
    <col min="2066" max="2066" width="8.625" style="284" customWidth="1"/>
    <col min="2067" max="2093" width="0" style="284" hidden="1" customWidth="1"/>
    <col min="2094" max="2094" width="9.375" style="284" customWidth="1"/>
    <col min="2095" max="2304" width="9" style="284"/>
    <col min="2305" max="2305" width="4.75" style="284" customWidth="1"/>
    <col min="2306" max="2306" width="5.25" style="284" customWidth="1"/>
    <col min="2307" max="2307" width="9.375" style="284" customWidth="1"/>
    <col min="2308" max="2310" width="8.375" style="284" customWidth="1"/>
    <col min="2311" max="2311" width="9.375" style="284" customWidth="1"/>
    <col min="2312" max="2312" width="11" style="284" customWidth="1"/>
    <col min="2313" max="2313" width="7.375" style="284" customWidth="1"/>
    <col min="2314" max="2314" width="1.125" style="284" customWidth="1"/>
    <col min="2315" max="2321" width="0" style="284" hidden="1" customWidth="1"/>
    <col min="2322" max="2322" width="8.625" style="284" customWidth="1"/>
    <col min="2323" max="2349" width="0" style="284" hidden="1" customWidth="1"/>
    <col min="2350" max="2350" width="9.375" style="284" customWidth="1"/>
    <col min="2351" max="2560" width="9" style="284"/>
    <col min="2561" max="2561" width="4.75" style="284" customWidth="1"/>
    <col min="2562" max="2562" width="5.25" style="284" customWidth="1"/>
    <col min="2563" max="2563" width="9.375" style="284" customWidth="1"/>
    <col min="2564" max="2566" width="8.375" style="284" customWidth="1"/>
    <col min="2567" max="2567" width="9.375" style="284" customWidth="1"/>
    <col min="2568" max="2568" width="11" style="284" customWidth="1"/>
    <col min="2569" max="2569" width="7.375" style="284" customWidth="1"/>
    <col min="2570" max="2570" width="1.125" style="284" customWidth="1"/>
    <col min="2571" max="2577" width="0" style="284" hidden="1" customWidth="1"/>
    <col min="2578" max="2578" width="8.625" style="284" customWidth="1"/>
    <col min="2579" max="2605" width="0" style="284" hidden="1" customWidth="1"/>
    <col min="2606" max="2606" width="9.375" style="284" customWidth="1"/>
    <col min="2607" max="2816" width="9" style="284"/>
    <col min="2817" max="2817" width="4.75" style="284" customWidth="1"/>
    <col min="2818" max="2818" width="5.25" style="284" customWidth="1"/>
    <col min="2819" max="2819" width="9.375" style="284" customWidth="1"/>
    <col min="2820" max="2822" width="8.375" style="284" customWidth="1"/>
    <col min="2823" max="2823" width="9.375" style="284" customWidth="1"/>
    <col min="2824" max="2824" width="11" style="284" customWidth="1"/>
    <col min="2825" max="2825" width="7.375" style="284" customWidth="1"/>
    <col min="2826" max="2826" width="1.125" style="284" customWidth="1"/>
    <col min="2827" max="2833" width="0" style="284" hidden="1" customWidth="1"/>
    <col min="2834" max="2834" width="8.625" style="284" customWidth="1"/>
    <col min="2835" max="2861" width="0" style="284" hidden="1" customWidth="1"/>
    <col min="2862" max="2862" width="9.375" style="284" customWidth="1"/>
    <col min="2863" max="3072" width="9" style="284"/>
    <col min="3073" max="3073" width="4.75" style="284" customWidth="1"/>
    <col min="3074" max="3074" width="5.25" style="284" customWidth="1"/>
    <col min="3075" max="3075" width="9.375" style="284" customWidth="1"/>
    <col min="3076" max="3078" width="8.375" style="284" customWidth="1"/>
    <col min="3079" max="3079" width="9.375" style="284" customWidth="1"/>
    <col min="3080" max="3080" width="11" style="284" customWidth="1"/>
    <col min="3081" max="3081" width="7.375" style="284" customWidth="1"/>
    <col min="3082" max="3082" width="1.125" style="284" customWidth="1"/>
    <col min="3083" max="3089" width="0" style="284" hidden="1" customWidth="1"/>
    <col min="3090" max="3090" width="8.625" style="284" customWidth="1"/>
    <col min="3091" max="3117" width="0" style="284" hidden="1" customWidth="1"/>
    <col min="3118" max="3118" width="9.375" style="284" customWidth="1"/>
    <col min="3119" max="3328" width="9" style="284"/>
    <col min="3329" max="3329" width="4.75" style="284" customWidth="1"/>
    <col min="3330" max="3330" width="5.25" style="284" customWidth="1"/>
    <col min="3331" max="3331" width="9.375" style="284" customWidth="1"/>
    <col min="3332" max="3334" width="8.375" style="284" customWidth="1"/>
    <col min="3335" max="3335" width="9.375" style="284" customWidth="1"/>
    <col min="3336" max="3336" width="11" style="284" customWidth="1"/>
    <col min="3337" max="3337" width="7.375" style="284" customWidth="1"/>
    <col min="3338" max="3338" width="1.125" style="284" customWidth="1"/>
    <col min="3339" max="3345" width="0" style="284" hidden="1" customWidth="1"/>
    <col min="3346" max="3346" width="8.625" style="284" customWidth="1"/>
    <col min="3347" max="3373" width="0" style="284" hidden="1" customWidth="1"/>
    <col min="3374" max="3374" width="9.375" style="284" customWidth="1"/>
    <col min="3375" max="3584" width="9" style="284"/>
    <col min="3585" max="3585" width="4.75" style="284" customWidth="1"/>
    <col min="3586" max="3586" width="5.25" style="284" customWidth="1"/>
    <col min="3587" max="3587" width="9.375" style="284" customWidth="1"/>
    <col min="3588" max="3590" width="8.375" style="284" customWidth="1"/>
    <col min="3591" max="3591" width="9.375" style="284" customWidth="1"/>
    <col min="3592" max="3592" width="11" style="284" customWidth="1"/>
    <col min="3593" max="3593" width="7.375" style="284" customWidth="1"/>
    <col min="3594" max="3594" width="1.125" style="284" customWidth="1"/>
    <col min="3595" max="3601" width="0" style="284" hidden="1" customWidth="1"/>
    <col min="3602" max="3602" width="8.625" style="284" customWidth="1"/>
    <col min="3603" max="3629" width="0" style="284" hidden="1" customWidth="1"/>
    <col min="3630" max="3630" width="9.375" style="284" customWidth="1"/>
    <col min="3631" max="3840" width="9" style="284"/>
    <col min="3841" max="3841" width="4.75" style="284" customWidth="1"/>
    <col min="3842" max="3842" width="5.25" style="284" customWidth="1"/>
    <col min="3843" max="3843" width="9.375" style="284" customWidth="1"/>
    <col min="3844" max="3846" width="8.375" style="284" customWidth="1"/>
    <col min="3847" max="3847" width="9.375" style="284" customWidth="1"/>
    <col min="3848" max="3848" width="11" style="284" customWidth="1"/>
    <col min="3849" max="3849" width="7.375" style="284" customWidth="1"/>
    <col min="3850" max="3850" width="1.125" style="284" customWidth="1"/>
    <col min="3851" max="3857" width="0" style="284" hidden="1" customWidth="1"/>
    <col min="3858" max="3858" width="8.625" style="284" customWidth="1"/>
    <col min="3859" max="3885" width="0" style="284" hidden="1" customWidth="1"/>
    <col min="3886" max="3886" width="9.375" style="284" customWidth="1"/>
    <col min="3887" max="4096" width="9" style="284"/>
    <col min="4097" max="4097" width="4.75" style="284" customWidth="1"/>
    <col min="4098" max="4098" width="5.25" style="284" customWidth="1"/>
    <col min="4099" max="4099" width="9.375" style="284" customWidth="1"/>
    <col min="4100" max="4102" width="8.375" style="284" customWidth="1"/>
    <col min="4103" max="4103" width="9.375" style="284" customWidth="1"/>
    <col min="4104" max="4104" width="11" style="284" customWidth="1"/>
    <col min="4105" max="4105" width="7.375" style="284" customWidth="1"/>
    <col min="4106" max="4106" width="1.125" style="284" customWidth="1"/>
    <col min="4107" max="4113" width="0" style="284" hidden="1" customWidth="1"/>
    <col min="4114" max="4114" width="8.625" style="284" customWidth="1"/>
    <col min="4115" max="4141" width="0" style="284" hidden="1" customWidth="1"/>
    <col min="4142" max="4142" width="9.375" style="284" customWidth="1"/>
    <col min="4143" max="4352" width="9" style="284"/>
    <col min="4353" max="4353" width="4.75" style="284" customWidth="1"/>
    <col min="4354" max="4354" width="5.25" style="284" customWidth="1"/>
    <col min="4355" max="4355" width="9.375" style="284" customWidth="1"/>
    <col min="4356" max="4358" width="8.375" style="284" customWidth="1"/>
    <col min="4359" max="4359" width="9.375" style="284" customWidth="1"/>
    <col min="4360" max="4360" width="11" style="284" customWidth="1"/>
    <col min="4361" max="4361" width="7.375" style="284" customWidth="1"/>
    <col min="4362" max="4362" width="1.125" style="284" customWidth="1"/>
    <col min="4363" max="4369" width="0" style="284" hidden="1" customWidth="1"/>
    <col min="4370" max="4370" width="8.625" style="284" customWidth="1"/>
    <col min="4371" max="4397" width="0" style="284" hidden="1" customWidth="1"/>
    <col min="4398" max="4398" width="9.375" style="284" customWidth="1"/>
    <col min="4399" max="4608" width="9" style="284"/>
    <col min="4609" max="4609" width="4.75" style="284" customWidth="1"/>
    <col min="4610" max="4610" width="5.25" style="284" customWidth="1"/>
    <col min="4611" max="4611" width="9.375" style="284" customWidth="1"/>
    <col min="4612" max="4614" width="8.375" style="284" customWidth="1"/>
    <col min="4615" max="4615" width="9.375" style="284" customWidth="1"/>
    <col min="4616" max="4616" width="11" style="284" customWidth="1"/>
    <col min="4617" max="4617" width="7.375" style="284" customWidth="1"/>
    <col min="4618" max="4618" width="1.125" style="284" customWidth="1"/>
    <col min="4619" max="4625" width="0" style="284" hidden="1" customWidth="1"/>
    <col min="4626" max="4626" width="8.625" style="284" customWidth="1"/>
    <col min="4627" max="4653" width="0" style="284" hidden="1" customWidth="1"/>
    <col min="4654" max="4654" width="9.375" style="284" customWidth="1"/>
    <col min="4655" max="4864" width="9" style="284"/>
    <col min="4865" max="4865" width="4.75" style="284" customWidth="1"/>
    <col min="4866" max="4866" width="5.25" style="284" customWidth="1"/>
    <col min="4867" max="4867" width="9.375" style="284" customWidth="1"/>
    <col min="4868" max="4870" width="8.375" style="284" customWidth="1"/>
    <col min="4871" max="4871" width="9.375" style="284" customWidth="1"/>
    <col min="4872" max="4872" width="11" style="284" customWidth="1"/>
    <col min="4873" max="4873" width="7.375" style="284" customWidth="1"/>
    <col min="4874" max="4874" width="1.125" style="284" customWidth="1"/>
    <col min="4875" max="4881" width="0" style="284" hidden="1" customWidth="1"/>
    <col min="4882" max="4882" width="8.625" style="284" customWidth="1"/>
    <col min="4883" max="4909" width="0" style="284" hidden="1" customWidth="1"/>
    <col min="4910" max="4910" width="9.375" style="284" customWidth="1"/>
    <col min="4911" max="5120" width="9" style="284"/>
    <col min="5121" max="5121" width="4.75" style="284" customWidth="1"/>
    <col min="5122" max="5122" width="5.25" style="284" customWidth="1"/>
    <col min="5123" max="5123" width="9.375" style="284" customWidth="1"/>
    <col min="5124" max="5126" width="8.375" style="284" customWidth="1"/>
    <col min="5127" max="5127" width="9.375" style="284" customWidth="1"/>
    <col min="5128" max="5128" width="11" style="284" customWidth="1"/>
    <col min="5129" max="5129" width="7.375" style="284" customWidth="1"/>
    <col min="5130" max="5130" width="1.125" style="284" customWidth="1"/>
    <col min="5131" max="5137" width="0" style="284" hidden="1" customWidth="1"/>
    <col min="5138" max="5138" width="8.625" style="284" customWidth="1"/>
    <col min="5139" max="5165" width="0" style="284" hidden="1" customWidth="1"/>
    <col min="5166" max="5166" width="9.375" style="284" customWidth="1"/>
    <col min="5167" max="5376" width="9" style="284"/>
    <col min="5377" max="5377" width="4.75" style="284" customWidth="1"/>
    <col min="5378" max="5378" width="5.25" style="284" customWidth="1"/>
    <col min="5379" max="5379" width="9.375" style="284" customWidth="1"/>
    <col min="5380" max="5382" width="8.375" style="284" customWidth="1"/>
    <col min="5383" max="5383" width="9.375" style="284" customWidth="1"/>
    <col min="5384" max="5384" width="11" style="284" customWidth="1"/>
    <col min="5385" max="5385" width="7.375" style="284" customWidth="1"/>
    <col min="5386" max="5386" width="1.125" style="284" customWidth="1"/>
    <col min="5387" max="5393" width="0" style="284" hidden="1" customWidth="1"/>
    <col min="5394" max="5394" width="8.625" style="284" customWidth="1"/>
    <col min="5395" max="5421" width="0" style="284" hidden="1" customWidth="1"/>
    <col min="5422" max="5422" width="9.375" style="284" customWidth="1"/>
    <col min="5423" max="5632" width="9" style="284"/>
    <col min="5633" max="5633" width="4.75" style="284" customWidth="1"/>
    <col min="5634" max="5634" width="5.25" style="284" customWidth="1"/>
    <col min="5635" max="5635" width="9.375" style="284" customWidth="1"/>
    <col min="5636" max="5638" width="8.375" style="284" customWidth="1"/>
    <col min="5639" max="5639" width="9.375" style="284" customWidth="1"/>
    <col min="5640" max="5640" width="11" style="284" customWidth="1"/>
    <col min="5641" max="5641" width="7.375" style="284" customWidth="1"/>
    <col min="5642" max="5642" width="1.125" style="284" customWidth="1"/>
    <col min="5643" max="5649" width="0" style="284" hidden="1" customWidth="1"/>
    <col min="5650" max="5650" width="8.625" style="284" customWidth="1"/>
    <col min="5651" max="5677" width="0" style="284" hidden="1" customWidth="1"/>
    <col min="5678" max="5678" width="9.375" style="284" customWidth="1"/>
    <col min="5679" max="5888" width="9" style="284"/>
    <col min="5889" max="5889" width="4.75" style="284" customWidth="1"/>
    <col min="5890" max="5890" width="5.25" style="284" customWidth="1"/>
    <col min="5891" max="5891" width="9.375" style="284" customWidth="1"/>
    <col min="5892" max="5894" width="8.375" style="284" customWidth="1"/>
    <col min="5895" max="5895" width="9.375" style="284" customWidth="1"/>
    <col min="5896" max="5896" width="11" style="284" customWidth="1"/>
    <col min="5897" max="5897" width="7.375" style="284" customWidth="1"/>
    <col min="5898" max="5898" width="1.125" style="284" customWidth="1"/>
    <col min="5899" max="5905" width="0" style="284" hidden="1" customWidth="1"/>
    <col min="5906" max="5906" width="8.625" style="284" customWidth="1"/>
    <col min="5907" max="5933" width="0" style="284" hidden="1" customWidth="1"/>
    <col min="5934" max="5934" width="9.375" style="284" customWidth="1"/>
    <col min="5935" max="6144" width="9" style="284"/>
    <col min="6145" max="6145" width="4.75" style="284" customWidth="1"/>
    <col min="6146" max="6146" width="5.25" style="284" customWidth="1"/>
    <col min="6147" max="6147" width="9.375" style="284" customWidth="1"/>
    <col min="6148" max="6150" width="8.375" style="284" customWidth="1"/>
    <col min="6151" max="6151" width="9.375" style="284" customWidth="1"/>
    <col min="6152" max="6152" width="11" style="284" customWidth="1"/>
    <col min="6153" max="6153" width="7.375" style="284" customWidth="1"/>
    <col min="6154" max="6154" width="1.125" style="284" customWidth="1"/>
    <col min="6155" max="6161" width="0" style="284" hidden="1" customWidth="1"/>
    <col min="6162" max="6162" width="8.625" style="284" customWidth="1"/>
    <col min="6163" max="6189" width="0" style="284" hidden="1" customWidth="1"/>
    <col min="6190" max="6190" width="9.375" style="284" customWidth="1"/>
    <col min="6191" max="6400" width="9" style="284"/>
    <col min="6401" max="6401" width="4.75" style="284" customWidth="1"/>
    <col min="6402" max="6402" width="5.25" style="284" customWidth="1"/>
    <col min="6403" max="6403" width="9.375" style="284" customWidth="1"/>
    <col min="6404" max="6406" width="8.375" style="284" customWidth="1"/>
    <col min="6407" max="6407" width="9.375" style="284" customWidth="1"/>
    <col min="6408" max="6408" width="11" style="284" customWidth="1"/>
    <col min="6409" max="6409" width="7.375" style="284" customWidth="1"/>
    <col min="6410" max="6410" width="1.125" style="284" customWidth="1"/>
    <col min="6411" max="6417" width="0" style="284" hidden="1" customWidth="1"/>
    <col min="6418" max="6418" width="8.625" style="284" customWidth="1"/>
    <col min="6419" max="6445" width="0" style="284" hidden="1" customWidth="1"/>
    <col min="6446" max="6446" width="9.375" style="284" customWidth="1"/>
    <col min="6447" max="6656" width="9" style="284"/>
    <col min="6657" max="6657" width="4.75" style="284" customWidth="1"/>
    <col min="6658" max="6658" width="5.25" style="284" customWidth="1"/>
    <col min="6659" max="6659" width="9.375" style="284" customWidth="1"/>
    <col min="6660" max="6662" width="8.375" style="284" customWidth="1"/>
    <col min="6663" max="6663" width="9.375" style="284" customWidth="1"/>
    <col min="6664" max="6664" width="11" style="284" customWidth="1"/>
    <col min="6665" max="6665" width="7.375" style="284" customWidth="1"/>
    <col min="6666" max="6666" width="1.125" style="284" customWidth="1"/>
    <col min="6667" max="6673" width="0" style="284" hidden="1" customWidth="1"/>
    <col min="6674" max="6674" width="8.625" style="284" customWidth="1"/>
    <col min="6675" max="6701" width="0" style="284" hidden="1" customWidth="1"/>
    <col min="6702" max="6702" width="9.375" style="284" customWidth="1"/>
    <col min="6703" max="6912" width="9" style="284"/>
    <col min="6913" max="6913" width="4.75" style="284" customWidth="1"/>
    <col min="6914" max="6914" width="5.25" style="284" customWidth="1"/>
    <col min="6915" max="6915" width="9.375" style="284" customWidth="1"/>
    <col min="6916" max="6918" width="8.375" style="284" customWidth="1"/>
    <col min="6919" max="6919" width="9.375" style="284" customWidth="1"/>
    <col min="6920" max="6920" width="11" style="284" customWidth="1"/>
    <col min="6921" max="6921" width="7.375" style="284" customWidth="1"/>
    <col min="6922" max="6922" width="1.125" style="284" customWidth="1"/>
    <col min="6923" max="6929" width="0" style="284" hidden="1" customWidth="1"/>
    <col min="6930" max="6930" width="8.625" style="284" customWidth="1"/>
    <col min="6931" max="6957" width="0" style="284" hidden="1" customWidth="1"/>
    <col min="6958" max="6958" width="9.375" style="284" customWidth="1"/>
    <col min="6959" max="7168" width="9" style="284"/>
    <col min="7169" max="7169" width="4.75" style="284" customWidth="1"/>
    <col min="7170" max="7170" width="5.25" style="284" customWidth="1"/>
    <col min="7171" max="7171" width="9.375" style="284" customWidth="1"/>
    <col min="7172" max="7174" width="8.375" style="284" customWidth="1"/>
    <col min="7175" max="7175" width="9.375" style="284" customWidth="1"/>
    <col min="7176" max="7176" width="11" style="284" customWidth="1"/>
    <col min="7177" max="7177" width="7.375" style="284" customWidth="1"/>
    <col min="7178" max="7178" width="1.125" style="284" customWidth="1"/>
    <col min="7179" max="7185" width="0" style="284" hidden="1" customWidth="1"/>
    <col min="7186" max="7186" width="8.625" style="284" customWidth="1"/>
    <col min="7187" max="7213" width="0" style="284" hidden="1" customWidth="1"/>
    <col min="7214" max="7214" width="9.375" style="284" customWidth="1"/>
    <col min="7215" max="7424" width="9" style="284"/>
    <col min="7425" max="7425" width="4.75" style="284" customWidth="1"/>
    <col min="7426" max="7426" width="5.25" style="284" customWidth="1"/>
    <col min="7427" max="7427" width="9.375" style="284" customWidth="1"/>
    <col min="7428" max="7430" width="8.375" style="284" customWidth="1"/>
    <col min="7431" max="7431" width="9.375" style="284" customWidth="1"/>
    <col min="7432" max="7432" width="11" style="284" customWidth="1"/>
    <col min="7433" max="7433" width="7.375" style="284" customWidth="1"/>
    <col min="7434" max="7434" width="1.125" style="284" customWidth="1"/>
    <col min="7435" max="7441" width="0" style="284" hidden="1" customWidth="1"/>
    <col min="7442" max="7442" width="8.625" style="284" customWidth="1"/>
    <col min="7443" max="7469" width="0" style="284" hidden="1" customWidth="1"/>
    <col min="7470" max="7470" width="9.375" style="284" customWidth="1"/>
    <col min="7471" max="7680" width="9" style="284"/>
    <col min="7681" max="7681" width="4.75" style="284" customWidth="1"/>
    <col min="7682" max="7682" width="5.25" style="284" customWidth="1"/>
    <col min="7683" max="7683" width="9.375" style="284" customWidth="1"/>
    <col min="7684" max="7686" width="8.375" style="284" customWidth="1"/>
    <col min="7687" max="7687" width="9.375" style="284" customWidth="1"/>
    <col min="7688" max="7688" width="11" style="284" customWidth="1"/>
    <col min="7689" max="7689" width="7.375" style="284" customWidth="1"/>
    <col min="7690" max="7690" width="1.125" style="284" customWidth="1"/>
    <col min="7691" max="7697" width="0" style="284" hidden="1" customWidth="1"/>
    <col min="7698" max="7698" width="8.625" style="284" customWidth="1"/>
    <col min="7699" max="7725" width="0" style="284" hidden="1" customWidth="1"/>
    <col min="7726" max="7726" width="9.375" style="284" customWidth="1"/>
    <col min="7727" max="7936" width="9" style="284"/>
    <col min="7937" max="7937" width="4.75" style="284" customWidth="1"/>
    <col min="7938" max="7938" width="5.25" style="284" customWidth="1"/>
    <col min="7939" max="7939" width="9.375" style="284" customWidth="1"/>
    <col min="7940" max="7942" width="8.375" style="284" customWidth="1"/>
    <col min="7943" max="7943" width="9.375" style="284" customWidth="1"/>
    <col min="7944" max="7944" width="11" style="284" customWidth="1"/>
    <col min="7945" max="7945" width="7.375" style="284" customWidth="1"/>
    <col min="7946" max="7946" width="1.125" style="284" customWidth="1"/>
    <col min="7947" max="7953" width="0" style="284" hidden="1" customWidth="1"/>
    <col min="7954" max="7954" width="8.625" style="284" customWidth="1"/>
    <col min="7955" max="7981" width="0" style="284" hidden="1" customWidth="1"/>
    <col min="7982" max="7982" width="9.375" style="284" customWidth="1"/>
    <col min="7983" max="8192" width="9" style="284"/>
    <col min="8193" max="8193" width="4.75" style="284" customWidth="1"/>
    <col min="8194" max="8194" width="5.25" style="284" customWidth="1"/>
    <col min="8195" max="8195" width="9.375" style="284" customWidth="1"/>
    <col min="8196" max="8198" width="8.375" style="284" customWidth="1"/>
    <col min="8199" max="8199" width="9.375" style="284" customWidth="1"/>
    <col min="8200" max="8200" width="11" style="284" customWidth="1"/>
    <col min="8201" max="8201" width="7.375" style="284" customWidth="1"/>
    <col min="8202" max="8202" width="1.125" style="284" customWidth="1"/>
    <col min="8203" max="8209" width="0" style="284" hidden="1" customWidth="1"/>
    <col min="8210" max="8210" width="8.625" style="284" customWidth="1"/>
    <col min="8211" max="8237" width="0" style="284" hidden="1" customWidth="1"/>
    <col min="8238" max="8238" width="9.375" style="284" customWidth="1"/>
    <col min="8239" max="8448" width="9" style="284"/>
    <col min="8449" max="8449" width="4.75" style="284" customWidth="1"/>
    <col min="8450" max="8450" width="5.25" style="284" customWidth="1"/>
    <col min="8451" max="8451" width="9.375" style="284" customWidth="1"/>
    <col min="8452" max="8454" width="8.375" style="284" customWidth="1"/>
    <col min="8455" max="8455" width="9.375" style="284" customWidth="1"/>
    <col min="8456" max="8456" width="11" style="284" customWidth="1"/>
    <col min="8457" max="8457" width="7.375" style="284" customWidth="1"/>
    <col min="8458" max="8458" width="1.125" style="284" customWidth="1"/>
    <col min="8459" max="8465" width="0" style="284" hidden="1" customWidth="1"/>
    <col min="8466" max="8466" width="8.625" style="284" customWidth="1"/>
    <col min="8467" max="8493" width="0" style="284" hidden="1" customWidth="1"/>
    <col min="8494" max="8494" width="9.375" style="284" customWidth="1"/>
    <col min="8495" max="8704" width="9" style="284"/>
    <col min="8705" max="8705" width="4.75" style="284" customWidth="1"/>
    <col min="8706" max="8706" width="5.25" style="284" customWidth="1"/>
    <col min="8707" max="8707" width="9.375" style="284" customWidth="1"/>
    <col min="8708" max="8710" width="8.375" style="284" customWidth="1"/>
    <col min="8711" max="8711" width="9.375" style="284" customWidth="1"/>
    <col min="8712" max="8712" width="11" style="284" customWidth="1"/>
    <col min="8713" max="8713" width="7.375" style="284" customWidth="1"/>
    <col min="8714" max="8714" width="1.125" style="284" customWidth="1"/>
    <col min="8715" max="8721" width="0" style="284" hidden="1" customWidth="1"/>
    <col min="8722" max="8722" width="8.625" style="284" customWidth="1"/>
    <col min="8723" max="8749" width="0" style="284" hidden="1" customWidth="1"/>
    <col min="8750" max="8750" width="9.375" style="284" customWidth="1"/>
    <col min="8751" max="8960" width="9" style="284"/>
    <col min="8961" max="8961" width="4.75" style="284" customWidth="1"/>
    <col min="8962" max="8962" width="5.25" style="284" customWidth="1"/>
    <col min="8963" max="8963" width="9.375" style="284" customWidth="1"/>
    <col min="8964" max="8966" width="8.375" style="284" customWidth="1"/>
    <col min="8967" max="8967" width="9.375" style="284" customWidth="1"/>
    <col min="8968" max="8968" width="11" style="284" customWidth="1"/>
    <col min="8969" max="8969" width="7.375" style="284" customWidth="1"/>
    <col min="8970" max="8970" width="1.125" style="284" customWidth="1"/>
    <col min="8971" max="8977" width="0" style="284" hidden="1" customWidth="1"/>
    <col min="8978" max="8978" width="8.625" style="284" customWidth="1"/>
    <col min="8979" max="9005" width="0" style="284" hidden="1" customWidth="1"/>
    <col min="9006" max="9006" width="9.375" style="284" customWidth="1"/>
    <col min="9007" max="9216" width="9" style="284"/>
    <col min="9217" max="9217" width="4.75" style="284" customWidth="1"/>
    <col min="9218" max="9218" width="5.25" style="284" customWidth="1"/>
    <col min="9219" max="9219" width="9.375" style="284" customWidth="1"/>
    <col min="9220" max="9222" width="8.375" style="284" customWidth="1"/>
    <col min="9223" max="9223" width="9.375" style="284" customWidth="1"/>
    <col min="9224" max="9224" width="11" style="284" customWidth="1"/>
    <col min="9225" max="9225" width="7.375" style="284" customWidth="1"/>
    <col min="9226" max="9226" width="1.125" style="284" customWidth="1"/>
    <col min="9227" max="9233" width="0" style="284" hidden="1" customWidth="1"/>
    <col min="9234" max="9234" width="8.625" style="284" customWidth="1"/>
    <col min="9235" max="9261" width="0" style="284" hidden="1" customWidth="1"/>
    <col min="9262" max="9262" width="9.375" style="284" customWidth="1"/>
    <col min="9263" max="9472" width="9" style="284"/>
    <col min="9473" max="9473" width="4.75" style="284" customWidth="1"/>
    <col min="9474" max="9474" width="5.25" style="284" customWidth="1"/>
    <col min="9475" max="9475" width="9.375" style="284" customWidth="1"/>
    <col min="9476" max="9478" width="8.375" style="284" customWidth="1"/>
    <col min="9479" max="9479" width="9.375" style="284" customWidth="1"/>
    <col min="9480" max="9480" width="11" style="284" customWidth="1"/>
    <col min="9481" max="9481" width="7.375" style="284" customWidth="1"/>
    <col min="9482" max="9482" width="1.125" style="284" customWidth="1"/>
    <col min="9483" max="9489" width="0" style="284" hidden="1" customWidth="1"/>
    <col min="9490" max="9490" width="8.625" style="284" customWidth="1"/>
    <col min="9491" max="9517" width="0" style="284" hidden="1" customWidth="1"/>
    <col min="9518" max="9518" width="9.375" style="284" customWidth="1"/>
    <col min="9519" max="9728" width="9" style="284"/>
    <col min="9729" max="9729" width="4.75" style="284" customWidth="1"/>
    <col min="9730" max="9730" width="5.25" style="284" customWidth="1"/>
    <col min="9731" max="9731" width="9.375" style="284" customWidth="1"/>
    <col min="9732" max="9734" width="8.375" style="284" customWidth="1"/>
    <col min="9735" max="9735" width="9.375" style="284" customWidth="1"/>
    <col min="9736" max="9736" width="11" style="284" customWidth="1"/>
    <col min="9737" max="9737" width="7.375" style="284" customWidth="1"/>
    <col min="9738" max="9738" width="1.125" style="284" customWidth="1"/>
    <col min="9739" max="9745" width="0" style="284" hidden="1" customWidth="1"/>
    <col min="9746" max="9746" width="8.625" style="284" customWidth="1"/>
    <col min="9747" max="9773" width="0" style="284" hidden="1" customWidth="1"/>
    <col min="9774" max="9774" width="9.375" style="284" customWidth="1"/>
    <col min="9775" max="9984" width="9" style="284"/>
    <col min="9985" max="9985" width="4.75" style="284" customWidth="1"/>
    <col min="9986" max="9986" width="5.25" style="284" customWidth="1"/>
    <col min="9987" max="9987" width="9.375" style="284" customWidth="1"/>
    <col min="9988" max="9990" width="8.375" style="284" customWidth="1"/>
    <col min="9991" max="9991" width="9.375" style="284" customWidth="1"/>
    <col min="9992" max="9992" width="11" style="284" customWidth="1"/>
    <col min="9993" max="9993" width="7.375" style="284" customWidth="1"/>
    <col min="9994" max="9994" width="1.125" style="284" customWidth="1"/>
    <col min="9995" max="10001" width="0" style="284" hidden="1" customWidth="1"/>
    <col min="10002" max="10002" width="8.625" style="284" customWidth="1"/>
    <col min="10003" max="10029" width="0" style="284" hidden="1" customWidth="1"/>
    <col min="10030" max="10030" width="9.375" style="284" customWidth="1"/>
    <col min="10031" max="10240" width="9" style="284"/>
    <col min="10241" max="10241" width="4.75" style="284" customWidth="1"/>
    <col min="10242" max="10242" width="5.25" style="284" customWidth="1"/>
    <col min="10243" max="10243" width="9.375" style="284" customWidth="1"/>
    <col min="10244" max="10246" width="8.375" style="284" customWidth="1"/>
    <col min="10247" max="10247" width="9.375" style="284" customWidth="1"/>
    <col min="10248" max="10248" width="11" style="284" customWidth="1"/>
    <col min="10249" max="10249" width="7.375" style="284" customWidth="1"/>
    <col min="10250" max="10250" width="1.125" style="284" customWidth="1"/>
    <col min="10251" max="10257" width="0" style="284" hidden="1" customWidth="1"/>
    <col min="10258" max="10258" width="8.625" style="284" customWidth="1"/>
    <col min="10259" max="10285" width="0" style="284" hidden="1" customWidth="1"/>
    <col min="10286" max="10286" width="9.375" style="284" customWidth="1"/>
    <col min="10287" max="10496" width="9" style="284"/>
    <col min="10497" max="10497" width="4.75" style="284" customWidth="1"/>
    <col min="10498" max="10498" width="5.25" style="284" customWidth="1"/>
    <col min="10499" max="10499" width="9.375" style="284" customWidth="1"/>
    <col min="10500" max="10502" width="8.375" style="284" customWidth="1"/>
    <col min="10503" max="10503" width="9.375" style="284" customWidth="1"/>
    <col min="10504" max="10504" width="11" style="284" customWidth="1"/>
    <col min="10505" max="10505" width="7.375" style="284" customWidth="1"/>
    <col min="10506" max="10506" width="1.125" style="284" customWidth="1"/>
    <col min="10507" max="10513" width="0" style="284" hidden="1" customWidth="1"/>
    <col min="10514" max="10514" width="8.625" style="284" customWidth="1"/>
    <col min="10515" max="10541" width="0" style="284" hidden="1" customWidth="1"/>
    <col min="10542" max="10542" width="9.375" style="284" customWidth="1"/>
    <col min="10543" max="10752" width="9" style="284"/>
    <col min="10753" max="10753" width="4.75" style="284" customWidth="1"/>
    <col min="10754" max="10754" width="5.25" style="284" customWidth="1"/>
    <col min="10755" max="10755" width="9.375" style="284" customWidth="1"/>
    <col min="10756" max="10758" width="8.375" style="284" customWidth="1"/>
    <col min="10759" max="10759" width="9.375" style="284" customWidth="1"/>
    <col min="10760" max="10760" width="11" style="284" customWidth="1"/>
    <col min="10761" max="10761" width="7.375" style="284" customWidth="1"/>
    <col min="10762" max="10762" width="1.125" style="284" customWidth="1"/>
    <col min="10763" max="10769" width="0" style="284" hidden="1" customWidth="1"/>
    <col min="10770" max="10770" width="8.625" style="284" customWidth="1"/>
    <col min="10771" max="10797" width="0" style="284" hidden="1" customWidth="1"/>
    <col min="10798" max="10798" width="9.375" style="284" customWidth="1"/>
    <col min="10799" max="11008" width="9" style="284"/>
    <col min="11009" max="11009" width="4.75" style="284" customWidth="1"/>
    <col min="11010" max="11010" width="5.25" style="284" customWidth="1"/>
    <col min="11011" max="11011" width="9.375" style="284" customWidth="1"/>
    <col min="11012" max="11014" width="8.375" style="284" customWidth="1"/>
    <col min="11015" max="11015" width="9.375" style="284" customWidth="1"/>
    <col min="11016" max="11016" width="11" style="284" customWidth="1"/>
    <col min="11017" max="11017" width="7.375" style="284" customWidth="1"/>
    <col min="11018" max="11018" width="1.125" style="284" customWidth="1"/>
    <col min="11019" max="11025" width="0" style="284" hidden="1" customWidth="1"/>
    <col min="11026" max="11026" width="8.625" style="284" customWidth="1"/>
    <col min="11027" max="11053" width="0" style="284" hidden="1" customWidth="1"/>
    <col min="11054" max="11054" width="9.375" style="284" customWidth="1"/>
    <col min="11055" max="11264" width="9" style="284"/>
    <col min="11265" max="11265" width="4.75" style="284" customWidth="1"/>
    <col min="11266" max="11266" width="5.25" style="284" customWidth="1"/>
    <col min="11267" max="11267" width="9.375" style="284" customWidth="1"/>
    <col min="11268" max="11270" width="8.375" style="284" customWidth="1"/>
    <col min="11271" max="11271" width="9.375" style="284" customWidth="1"/>
    <col min="11272" max="11272" width="11" style="284" customWidth="1"/>
    <col min="11273" max="11273" width="7.375" style="284" customWidth="1"/>
    <col min="11274" max="11274" width="1.125" style="284" customWidth="1"/>
    <col min="11275" max="11281" width="0" style="284" hidden="1" customWidth="1"/>
    <col min="11282" max="11282" width="8.625" style="284" customWidth="1"/>
    <col min="11283" max="11309" width="0" style="284" hidden="1" customWidth="1"/>
    <col min="11310" max="11310" width="9.375" style="284" customWidth="1"/>
    <col min="11311" max="11520" width="9" style="284"/>
    <col min="11521" max="11521" width="4.75" style="284" customWidth="1"/>
    <col min="11522" max="11522" width="5.25" style="284" customWidth="1"/>
    <col min="11523" max="11523" width="9.375" style="284" customWidth="1"/>
    <col min="11524" max="11526" width="8.375" style="284" customWidth="1"/>
    <col min="11527" max="11527" width="9.375" style="284" customWidth="1"/>
    <col min="11528" max="11528" width="11" style="284" customWidth="1"/>
    <col min="11529" max="11529" width="7.375" style="284" customWidth="1"/>
    <col min="11530" max="11530" width="1.125" style="284" customWidth="1"/>
    <col min="11531" max="11537" width="0" style="284" hidden="1" customWidth="1"/>
    <col min="11538" max="11538" width="8.625" style="284" customWidth="1"/>
    <col min="11539" max="11565" width="0" style="284" hidden="1" customWidth="1"/>
    <col min="11566" max="11566" width="9.375" style="284" customWidth="1"/>
    <col min="11567" max="11776" width="9" style="284"/>
    <col min="11777" max="11777" width="4.75" style="284" customWidth="1"/>
    <col min="11778" max="11778" width="5.25" style="284" customWidth="1"/>
    <col min="11779" max="11779" width="9.375" style="284" customWidth="1"/>
    <col min="11780" max="11782" width="8.375" style="284" customWidth="1"/>
    <col min="11783" max="11783" width="9.375" style="284" customWidth="1"/>
    <col min="11784" max="11784" width="11" style="284" customWidth="1"/>
    <col min="11785" max="11785" width="7.375" style="284" customWidth="1"/>
    <col min="11786" max="11786" width="1.125" style="284" customWidth="1"/>
    <col min="11787" max="11793" width="0" style="284" hidden="1" customWidth="1"/>
    <col min="11794" max="11794" width="8.625" style="284" customWidth="1"/>
    <col min="11795" max="11821" width="0" style="284" hidden="1" customWidth="1"/>
    <col min="11822" max="11822" width="9.375" style="284" customWidth="1"/>
    <col min="11823" max="12032" width="9" style="284"/>
    <col min="12033" max="12033" width="4.75" style="284" customWidth="1"/>
    <col min="12034" max="12034" width="5.25" style="284" customWidth="1"/>
    <col min="12035" max="12035" width="9.375" style="284" customWidth="1"/>
    <col min="12036" max="12038" width="8.375" style="284" customWidth="1"/>
    <col min="12039" max="12039" width="9.375" style="284" customWidth="1"/>
    <col min="12040" max="12040" width="11" style="284" customWidth="1"/>
    <col min="12041" max="12041" width="7.375" style="284" customWidth="1"/>
    <col min="12042" max="12042" width="1.125" style="284" customWidth="1"/>
    <col min="12043" max="12049" width="0" style="284" hidden="1" customWidth="1"/>
    <col min="12050" max="12050" width="8.625" style="284" customWidth="1"/>
    <col min="12051" max="12077" width="0" style="284" hidden="1" customWidth="1"/>
    <col min="12078" max="12078" width="9.375" style="284" customWidth="1"/>
    <col min="12079" max="12288" width="9" style="284"/>
    <col min="12289" max="12289" width="4.75" style="284" customWidth="1"/>
    <col min="12290" max="12290" width="5.25" style="284" customWidth="1"/>
    <col min="12291" max="12291" width="9.375" style="284" customWidth="1"/>
    <col min="12292" max="12294" width="8.375" style="284" customWidth="1"/>
    <col min="12295" max="12295" width="9.375" style="284" customWidth="1"/>
    <col min="12296" max="12296" width="11" style="284" customWidth="1"/>
    <col min="12297" max="12297" width="7.375" style="284" customWidth="1"/>
    <col min="12298" max="12298" width="1.125" style="284" customWidth="1"/>
    <col min="12299" max="12305" width="0" style="284" hidden="1" customWidth="1"/>
    <col min="12306" max="12306" width="8.625" style="284" customWidth="1"/>
    <col min="12307" max="12333" width="0" style="284" hidden="1" customWidth="1"/>
    <col min="12334" max="12334" width="9.375" style="284" customWidth="1"/>
    <col min="12335" max="12544" width="9" style="284"/>
    <col min="12545" max="12545" width="4.75" style="284" customWidth="1"/>
    <col min="12546" max="12546" width="5.25" style="284" customWidth="1"/>
    <col min="12547" max="12547" width="9.375" style="284" customWidth="1"/>
    <col min="12548" max="12550" width="8.375" style="284" customWidth="1"/>
    <col min="12551" max="12551" width="9.375" style="284" customWidth="1"/>
    <col min="12552" max="12552" width="11" style="284" customWidth="1"/>
    <col min="12553" max="12553" width="7.375" style="284" customWidth="1"/>
    <col min="12554" max="12554" width="1.125" style="284" customWidth="1"/>
    <col min="12555" max="12561" width="0" style="284" hidden="1" customWidth="1"/>
    <col min="12562" max="12562" width="8.625" style="284" customWidth="1"/>
    <col min="12563" max="12589" width="0" style="284" hidden="1" customWidth="1"/>
    <col min="12590" max="12590" width="9.375" style="284" customWidth="1"/>
    <col min="12591" max="12800" width="9" style="284"/>
    <col min="12801" max="12801" width="4.75" style="284" customWidth="1"/>
    <col min="12802" max="12802" width="5.25" style="284" customWidth="1"/>
    <col min="12803" max="12803" width="9.375" style="284" customWidth="1"/>
    <col min="12804" max="12806" width="8.375" style="284" customWidth="1"/>
    <col min="12807" max="12807" width="9.375" style="284" customWidth="1"/>
    <col min="12808" max="12808" width="11" style="284" customWidth="1"/>
    <col min="12809" max="12809" width="7.375" style="284" customWidth="1"/>
    <col min="12810" max="12810" width="1.125" style="284" customWidth="1"/>
    <col min="12811" max="12817" width="0" style="284" hidden="1" customWidth="1"/>
    <col min="12818" max="12818" width="8.625" style="284" customWidth="1"/>
    <col min="12819" max="12845" width="0" style="284" hidden="1" customWidth="1"/>
    <col min="12846" max="12846" width="9.375" style="284" customWidth="1"/>
    <col min="12847" max="13056" width="9" style="284"/>
    <col min="13057" max="13057" width="4.75" style="284" customWidth="1"/>
    <col min="13058" max="13058" width="5.25" style="284" customWidth="1"/>
    <col min="13059" max="13059" width="9.375" style="284" customWidth="1"/>
    <col min="13060" max="13062" width="8.375" style="284" customWidth="1"/>
    <col min="13063" max="13063" width="9.375" style="284" customWidth="1"/>
    <col min="13064" max="13064" width="11" style="284" customWidth="1"/>
    <col min="13065" max="13065" width="7.375" style="284" customWidth="1"/>
    <col min="13066" max="13066" width="1.125" style="284" customWidth="1"/>
    <col min="13067" max="13073" width="0" style="284" hidden="1" customWidth="1"/>
    <col min="13074" max="13074" width="8.625" style="284" customWidth="1"/>
    <col min="13075" max="13101" width="0" style="284" hidden="1" customWidth="1"/>
    <col min="13102" max="13102" width="9.375" style="284" customWidth="1"/>
    <col min="13103" max="13312" width="9" style="284"/>
    <col min="13313" max="13313" width="4.75" style="284" customWidth="1"/>
    <col min="13314" max="13314" width="5.25" style="284" customWidth="1"/>
    <col min="13315" max="13315" width="9.375" style="284" customWidth="1"/>
    <col min="13316" max="13318" width="8.375" style="284" customWidth="1"/>
    <col min="13319" max="13319" width="9.375" style="284" customWidth="1"/>
    <col min="13320" max="13320" width="11" style="284" customWidth="1"/>
    <col min="13321" max="13321" width="7.375" style="284" customWidth="1"/>
    <col min="13322" max="13322" width="1.125" style="284" customWidth="1"/>
    <col min="13323" max="13329" width="0" style="284" hidden="1" customWidth="1"/>
    <col min="13330" max="13330" width="8.625" style="284" customWidth="1"/>
    <col min="13331" max="13357" width="0" style="284" hidden="1" customWidth="1"/>
    <col min="13358" max="13358" width="9.375" style="284" customWidth="1"/>
    <col min="13359" max="13568" width="9" style="284"/>
    <col min="13569" max="13569" width="4.75" style="284" customWidth="1"/>
    <col min="13570" max="13570" width="5.25" style="284" customWidth="1"/>
    <col min="13571" max="13571" width="9.375" style="284" customWidth="1"/>
    <col min="13572" max="13574" width="8.375" style="284" customWidth="1"/>
    <col min="13575" max="13575" width="9.375" style="284" customWidth="1"/>
    <col min="13576" max="13576" width="11" style="284" customWidth="1"/>
    <col min="13577" max="13577" width="7.375" style="284" customWidth="1"/>
    <col min="13578" max="13578" width="1.125" style="284" customWidth="1"/>
    <col min="13579" max="13585" width="0" style="284" hidden="1" customWidth="1"/>
    <col min="13586" max="13586" width="8.625" style="284" customWidth="1"/>
    <col min="13587" max="13613" width="0" style="284" hidden="1" customWidth="1"/>
    <col min="13614" max="13614" width="9.375" style="284" customWidth="1"/>
    <col min="13615" max="13824" width="9" style="284"/>
    <col min="13825" max="13825" width="4.75" style="284" customWidth="1"/>
    <col min="13826" max="13826" width="5.25" style="284" customWidth="1"/>
    <col min="13827" max="13827" width="9.375" style="284" customWidth="1"/>
    <col min="13828" max="13830" width="8.375" style="284" customWidth="1"/>
    <col min="13831" max="13831" width="9.375" style="284" customWidth="1"/>
    <col min="13832" max="13832" width="11" style="284" customWidth="1"/>
    <col min="13833" max="13833" width="7.375" style="284" customWidth="1"/>
    <col min="13834" max="13834" width="1.125" style="284" customWidth="1"/>
    <col min="13835" max="13841" width="0" style="284" hidden="1" customWidth="1"/>
    <col min="13842" max="13842" width="8.625" style="284" customWidth="1"/>
    <col min="13843" max="13869" width="0" style="284" hidden="1" customWidth="1"/>
    <col min="13870" max="13870" width="9.375" style="284" customWidth="1"/>
    <col min="13871" max="14080" width="9" style="284"/>
    <col min="14081" max="14081" width="4.75" style="284" customWidth="1"/>
    <col min="14082" max="14082" width="5.25" style="284" customWidth="1"/>
    <col min="14083" max="14083" width="9.375" style="284" customWidth="1"/>
    <col min="14084" max="14086" width="8.375" style="284" customWidth="1"/>
    <col min="14087" max="14087" width="9.375" style="284" customWidth="1"/>
    <col min="14088" max="14088" width="11" style="284" customWidth="1"/>
    <col min="14089" max="14089" width="7.375" style="284" customWidth="1"/>
    <col min="14090" max="14090" width="1.125" style="284" customWidth="1"/>
    <col min="14091" max="14097" width="0" style="284" hidden="1" customWidth="1"/>
    <col min="14098" max="14098" width="8.625" style="284" customWidth="1"/>
    <col min="14099" max="14125" width="0" style="284" hidden="1" customWidth="1"/>
    <col min="14126" max="14126" width="9.375" style="284" customWidth="1"/>
    <col min="14127" max="14336" width="9" style="284"/>
    <col min="14337" max="14337" width="4.75" style="284" customWidth="1"/>
    <col min="14338" max="14338" width="5.25" style="284" customWidth="1"/>
    <col min="14339" max="14339" width="9.375" style="284" customWidth="1"/>
    <col min="14340" max="14342" width="8.375" style="284" customWidth="1"/>
    <col min="14343" max="14343" width="9.375" style="284" customWidth="1"/>
    <col min="14344" max="14344" width="11" style="284" customWidth="1"/>
    <col min="14345" max="14345" width="7.375" style="284" customWidth="1"/>
    <col min="14346" max="14346" width="1.125" style="284" customWidth="1"/>
    <col min="14347" max="14353" width="0" style="284" hidden="1" customWidth="1"/>
    <col min="14354" max="14354" width="8.625" style="284" customWidth="1"/>
    <col min="14355" max="14381" width="0" style="284" hidden="1" customWidth="1"/>
    <col min="14382" max="14382" width="9.375" style="284" customWidth="1"/>
    <col min="14383" max="14592" width="9" style="284"/>
    <col min="14593" max="14593" width="4.75" style="284" customWidth="1"/>
    <col min="14594" max="14594" width="5.25" style="284" customWidth="1"/>
    <col min="14595" max="14595" width="9.375" style="284" customWidth="1"/>
    <col min="14596" max="14598" width="8.375" style="284" customWidth="1"/>
    <col min="14599" max="14599" width="9.375" style="284" customWidth="1"/>
    <col min="14600" max="14600" width="11" style="284" customWidth="1"/>
    <col min="14601" max="14601" width="7.375" style="284" customWidth="1"/>
    <col min="14602" max="14602" width="1.125" style="284" customWidth="1"/>
    <col min="14603" max="14609" width="0" style="284" hidden="1" customWidth="1"/>
    <col min="14610" max="14610" width="8.625" style="284" customWidth="1"/>
    <col min="14611" max="14637" width="0" style="284" hidden="1" customWidth="1"/>
    <col min="14638" max="14638" width="9.375" style="284" customWidth="1"/>
    <col min="14639" max="14848" width="9" style="284"/>
    <col min="14849" max="14849" width="4.75" style="284" customWidth="1"/>
    <col min="14850" max="14850" width="5.25" style="284" customWidth="1"/>
    <col min="14851" max="14851" width="9.375" style="284" customWidth="1"/>
    <col min="14852" max="14854" width="8.375" style="284" customWidth="1"/>
    <col min="14855" max="14855" width="9.375" style="284" customWidth="1"/>
    <col min="14856" max="14856" width="11" style="284" customWidth="1"/>
    <col min="14857" max="14857" width="7.375" style="284" customWidth="1"/>
    <col min="14858" max="14858" width="1.125" style="284" customWidth="1"/>
    <col min="14859" max="14865" width="0" style="284" hidden="1" customWidth="1"/>
    <col min="14866" max="14866" width="8.625" style="284" customWidth="1"/>
    <col min="14867" max="14893" width="0" style="284" hidden="1" customWidth="1"/>
    <col min="14894" max="14894" width="9.375" style="284" customWidth="1"/>
    <col min="14895" max="15104" width="9" style="284"/>
    <col min="15105" max="15105" width="4.75" style="284" customWidth="1"/>
    <col min="15106" max="15106" width="5.25" style="284" customWidth="1"/>
    <col min="15107" max="15107" width="9.375" style="284" customWidth="1"/>
    <col min="15108" max="15110" width="8.375" style="284" customWidth="1"/>
    <col min="15111" max="15111" width="9.375" style="284" customWidth="1"/>
    <col min="15112" max="15112" width="11" style="284" customWidth="1"/>
    <col min="15113" max="15113" width="7.375" style="284" customWidth="1"/>
    <col min="15114" max="15114" width="1.125" style="284" customWidth="1"/>
    <col min="15115" max="15121" width="0" style="284" hidden="1" customWidth="1"/>
    <col min="15122" max="15122" width="8.625" style="284" customWidth="1"/>
    <col min="15123" max="15149" width="0" style="284" hidden="1" customWidth="1"/>
    <col min="15150" max="15150" width="9.375" style="284" customWidth="1"/>
    <col min="15151" max="15360" width="9" style="284"/>
    <col min="15361" max="15361" width="4.75" style="284" customWidth="1"/>
    <col min="15362" max="15362" width="5.25" style="284" customWidth="1"/>
    <col min="15363" max="15363" width="9.375" style="284" customWidth="1"/>
    <col min="15364" max="15366" width="8.375" style="284" customWidth="1"/>
    <col min="15367" max="15367" width="9.375" style="284" customWidth="1"/>
    <col min="15368" max="15368" width="11" style="284" customWidth="1"/>
    <col min="15369" max="15369" width="7.375" style="284" customWidth="1"/>
    <col min="15370" max="15370" width="1.125" style="284" customWidth="1"/>
    <col min="15371" max="15377" width="0" style="284" hidden="1" customWidth="1"/>
    <col min="15378" max="15378" width="8.625" style="284" customWidth="1"/>
    <col min="15379" max="15405" width="0" style="284" hidden="1" customWidth="1"/>
    <col min="15406" max="15406" width="9.375" style="284" customWidth="1"/>
    <col min="15407" max="15616" width="9" style="284"/>
    <col min="15617" max="15617" width="4.75" style="284" customWidth="1"/>
    <col min="15618" max="15618" width="5.25" style="284" customWidth="1"/>
    <col min="15619" max="15619" width="9.375" style="284" customWidth="1"/>
    <col min="15620" max="15622" width="8.375" style="284" customWidth="1"/>
    <col min="15623" max="15623" width="9.375" style="284" customWidth="1"/>
    <col min="15624" max="15624" width="11" style="284" customWidth="1"/>
    <col min="15625" max="15625" width="7.375" style="284" customWidth="1"/>
    <col min="15626" max="15626" width="1.125" style="284" customWidth="1"/>
    <col min="15627" max="15633" width="0" style="284" hidden="1" customWidth="1"/>
    <col min="15634" max="15634" width="8.625" style="284" customWidth="1"/>
    <col min="15635" max="15661" width="0" style="284" hidden="1" customWidth="1"/>
    <col min="15662" max="15662" width="9.375" style="284" customWidth="1"/>
    <col min="15663" max="15872" width="9" style="284"/>
    <col min="15873" max="15873" width="4.75" style="284" customWidth="1"/>
    <col min="15874" max="15874" width="5.25" style="284" customWidth="1"/>
    <col min="15875" max="15875" width="9.375" style="284" customWidth="1"/>
    <col min="15876" max="15878" width="8.375" style="284" customWidth="1"/>
    <col min="15879" max="15879" width="9.375" style="284" customWidth="1"/>
    <col min="15880" max="15880" width="11" style="284" customWidth="1"/>
    <col min="15881" max="15881" width="7.375" style="284" customWidth="1"/>
    <col min="15882" max="15882" width="1.125" style="284" customWidth="1"/>
    <col min="15883" max="15889" width="0" style="284" hidden="1" customWidth="1"/>
    <col min="15890" max="15890" width="8.625" style="284" customWidth="1"/>
    <col min="15891" max="15917" width="0" style="284" hidden="1" customWidth="1"/>
    <col min="15918" max="15918" width="9.375" style="284" customWidth="1"/>
    <col min="15919" max="16128" width="9" style="284"/>
    <col min="16129" max="16129" width="4.75" style="284" customWidth="1"/>
    <col min="16130" max="16130" width="5.25" style="284" customWidth="1"/>
    <col min="16131" max="16131" width="9.375" style="284" customWidth="1"/>
    <col min="16132" max="16134" width="8.375" style="284" customWidth="1"/>
    <col min="16135" max="16135" width="9.375" style="284" customWidth="1"/>
    <col min="16136" max="16136" width="11" style="284" customWidth="1"/>
    <col min="16137" max="16137" width="7.375" style="284" customWidth="1"/>
    <col min="16138" max="16138" width="1.125" style="284" customWidth="1"/>
    <col min="16139" max="16145" width="0" style="284" hidden="1" customWidth="1"/>
    <col min="16146" max="16146" width="8.625" style="284" customWidth="1"/>
    <col min="16147" max="16173" width="0" style="284" hidden="1" customWidth="1"/>
    <col min="16174" max="16174" width="9.375" style="284" customWidth="1"/>
    <col min="16175" max="16384" width="9" style="284"/>
  </cols>
  <sheetData>
    <row r="1" spans="1:57">
      <c r="A1" s="1748"/>
      <c r="B1" s="1748"/>
      <c r="C1" s="1748"/>
      <c r="D1" s="1748"/>
      <c r="E1" s="1748"/>
      <c r="F1" s="1748"/>
      <c r="G1" s="1748"/>
      <c r="H1" s="1748"/>
      <c r="I1" s="1748"/>
      <c r="J1" s="1748"/>
      <c r="K1" s="1748"/>
      <c r="L1" s="1748"/>
      <c r="M1" s="1748"/>
      <c r="N1" s="1748"/>
      <c r="O1" s="1748"/>
      <c r="P1" s="1748"/>
      <c r="Q1" s="1748"/>
      <c r="R1" s="1748"/>
      <c r="S1" s="1748"/>
      <c r="T1" s="1748"/>
      <c r="U1" s="1748"/>
      <c r="V1" s="1748"/>
      <c r="W1" s="1748"/>
      <c r="X1" s="1748"/>
      <c r="Y1" s="1748"/>
      <c r="Z1" s="1748"/>
      <c r="AA1" s="1748"/>
      <c r="AB1" s="1748"/>
      <c r="AC1" s="1748"/>
      <c r="AD1" s="1748"/>
      <c r="AE1" s="1748"/>
      <c r="AF1" s="1748"/>
      <c r="AG1" s="1748"/>
      <c r="AH1" s="1748"/>
      <c r="AI1" s="1748"/>
      <c r="AJ1" s="1748"/>
      <c r="AK1" s="1748"/>
      <c r="AL1" s="1748"/>
      <c r="AM1" s="1748"/>
      <c r="AN1" s="1748"/>
      <c r="AO1" s="1748"/>
      <c r="AP1" s="1748"/>
      <c r="AQ1" s="1748"/>
      <c r="AR1" s="1748"/>
      <c r="AS1" s="1748"/>
      <c r="AT1" s="1748"/>
    </row>
    <row r="2" spans="1:57" ht="34.5">
      <c r="A2" s="1749" t="s">
        <v>1788</v>
      </c>
      <c r="B2" s="1749"/>
      <c r="C2" s="1749"/>
      <c r="D2" s="1749"/>
      <c r="E2" s="1749"/>
      <c r="F2" s="1749"/>
      <c r="G2" s="1749"/>
      <c r="H2" s="1749"/>
      <c r="I2" s="1749"/>
      <c r="J2" s="1749"/>
      <c r="K2" s="1749"/>
      <c r="L2" s="1749"/>
      <c r="M2" s="1749"/>
      <c r="N2" s="1749"/>
      <c r="O2" s="1749"/>
      <c r="P2" s="1749"/>
      <c r="Q2" s="1749"/>
      <c r="R2" s="1749"/>
      <c r="S2" s="1749"/>
      <c r="T2" s="1749"/>
      <c r="U2" s="1749"/>
      <c r="V2" s="1749"/>
      <c r="W2" s="1749"/>
      <c r="X2" s="1749"/>
      <c r="Y2" s="1749"/>
      <c r="Z2" s="1749"/>
      <c r="AA2" s="1749"/>
      <c r="AB2" s="1749"/>
      <c r="AC2" s="1749"/>
      <c r="AD2" s="1749"/>
      <c r="AE2" s="1749"/>
      <c r="AF2" s="1749"/>
      <c r="AG2" s="1749"/>
      <c r="AH2" s="1749"/>
      <c r="AI2" s="1749"/>
      <c r="AJ2" s="1749"/>
      <c r="AK2" s="1749"/>
      <c r="AL2" s="1749"/>
      <c r="AM2" s="1749"/>
      <c r="AN2" s="1749"/>
      <c r="AO2" s="1749"/>
      <c r="AP2" s="1749"/>
      <c r="AQ2" s="1749"/>
      <c r="AR2" s="1749"/>
      <c r="AS2" s="1749"/>
      <c r="AT2" s="1749"/>
    </row>
    <row r="3" spans="1:57" ht="34.5">
      <c r="A3" s="285"/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285"/>
      <c r="AM3" s="285"/>
      <c r="AN3" s="285"/>
      <c r="AO3" s="285"/>
      <c r="AP3" s="285"/>
      <c r="AQ3" s="285"/>
      <c r="AR3" s="285"/>
      <c r="AS3" s="285"/>
      <c r="AT3" s="285"/>
    </row>
    <row r="4" spans="1:57" ht="21.75">
      <c r="A4" s="287"/>
      <c r="B4" s="288" t="s">
        <v>343</v>
      </c>
      <c r="C4" s="289"/>
      <c r="D4" s="290">
        <v>0</v>
      </c>
      <c r="E4" s="291" t="s">
        <v>344</v>
      </c>
      <c r="F4" s="292"/>
      <c r="G4" s="288" t="s">
        <v>345</v>
      </c>
      <c r="H4" s="289"/>
      <c r="I4" s="293">
        <v>6</v>
      </c>
      <c r="J4" s="291" t="s">
        <v>346</v>
      </c>
      <c r="K4" s="291"/>
      <c r="L4" s="291"/>
      <c r="M4" s="291"/>
      <c r="N4" s="291"/>
      <c r="O4" s="291"/>
      <c r="P4" s="291"/>
      <c r="Q4" s="291"/>
      <c r="R4" s="291"/>
      <c r="S4" s="294"/>
      <c r="T4" s="295"/>
      <c r="AM4" s="294"/>
      <c r="AN4" s="294"/>
      <c r="AO4" s="294"/>
      <c r="AP4" s="294"/>
      <c r="AQ4" s="294"/>
      <c r="AR4" s="294"/>
      <c r="AS4" s="294"/>
      <c r="AT4" s="294"/>
      <c r="AV4" s="296"/>
      <c r="AW4" s="296"/>
      <c r="AX4" s="296"/>
      <c r="AY4" s="296"/>
      <c r="AZ4" s="296"/>
      <c r="BA4" s="296"/>
      <c r="BB4" s="296"/>
      <c r="BC4" s="296"/>
    </row>
    <row r="5" spans="1:57" ht="21.75">
      <c r="A5" s="297"/>
      <c r="B5" s="288" t="s">
        <v>347</v>
      </c>
      <c r="C5" s="289"/>
      <c r="D5" s="290">
        <v>0</v>
      </c>
      <c r="E5" s="291" t="s">
        <v>344</v>
      </c>
      <c r="F5" s="292"/>
      <c r="G5" s="298" t="s">
        <v>348</v>
      </c>
      <c r="H5" s="289"/>
      <c r="I5" s="299">
        <v>7</v>
      </c>
      <c r="J5" s="300" t="s">
        <v>344</v>
      </c>
      <c r="K5" s="300"/>
      <c r="L5" s="300"/>
      <c r="M5" s="300"/>
      <c r="N5" s="300"/>
      <c r="O5" s="300"/>
      <c r="P5" s="300"/>
      <c r="Q5" s="300"/>
      <c r="R5" s="300"/>
      <c r="S5" s="301"/>
      <c r="T5" s="295"/>
      <c r="AM5" s="301"/>
      <c r="AN5" s="301"/>
      <c r="AO5" s="301"/>
      <c r="AP5" s="301"/>
      <c r="AQ5" s="301"/>
      <c r="AR5" s="301"/>
      <c r="AS5" s="301"/>
      <c r="AT5" s="301"/>
      <c r="AV5" s="296"/>
      <c r="AW5" s="296"/>
      <c r="AX5" s="296"/>
      <c r="AY5" s="296"/>
      <c r="AZ5" s="296"/>
      <c r="BA5" s="296"/>
      <c r="BB5" s="296"/>
      <c r="BC5" s="296"/>
    </row>
    <row r="6" spans="1:57" ht="21.75" thickBot="1">
      <c r="A6" s="302"/>
      <c r="B6" s="303"/>
      <c r="C6" s="303"/>
      <c r="D6" s="303"/>
      <c r="E6" s="304"/>
      <c r="F6" s="305"/>
      <c r="G6" s="303"/>
      <c r="H6" s="303"/>
      <c r="I6" s="303"/>
      <c r="J6" s="306"/>
      <c r="K6" s="306"/>
      <c r="L6" s="306"/>
      <c r="M6" s="306"/>
      <c r="N6" s="306"/>
      <c r="O6" s="306"/>
      <c r="P6" s="306"/>
      <c r="Q6" s="306"/>
      <c r="R6" s="306"/>
      <c r="S6" s="306"/>
      <c r="V6" s="307"/>
      <c r="W6" s="307"/>
      <c r="AM6" s="306"/>
      <c r="AN6" s="306"/>
      <c r="AO6" s="306"/>
      <c r="AP6" s="306"/>
      <c r="AQ6" s="306"/>
      <c r="AR6" s="306"/>
      <c r="AS6" s="306"/>
      <c r="AT6" s="306"/>
    </row>
    <row r="7" spans="1:57" ht="21.75">
      <c r="A7" s="1750" t="s">
        <v>349</v>
      </c>
      <c r="B7" s="1751"/>
      <c r="C7" s="1752" t="s">
        <v>350</v>
      </c>
      <c r="D7" s="1753"/>
      <c r="E7" s="1753"/>
      <c r="F7" s="1751"/>
      <c r="G7" s="308" t="s">
        <v>26</v>
      </c>
      <c r="H7" s="308" t="s">
        <v>351</v>
      </c>
      <c r="I7" s="1752"/>
      <c r="J7" s="1751"/>
      <c r="K7" s="309"/>
      <c r="L7" s="310"/>
      <c r="M7" s="308"/>
      <c r="N7" s="308"/>
      <c r="O7" s="308"/>
      <c r="P7" s="308"/>
      <c r="Q7" s="311"/>
      <c r="R7" s="18" t="s">
        <v>23</v>
      </c>
      <c r="S7" s="310"/>
      <c r="T7" s="1752"/>
      <c r="U7" s="1751"/>
      <c r="V7" s="308"/>
      <c r="W7" s="308"/>
      <c r="X7" s="312"/>
      <c r="Y7" s="312"/>
      <c r="Z7" s="312"/>
      <c r="AA7" s="312"/>
      <c r="AB7" s="312"/>
      <c r="AC7" s="312"/>
      <c r="AD7" s="312"/>
      <c r="AE7" s="312"/>
      <c r="AF7" s="312"/>
      <c r="AG7" s="312"/>
      <c r="AH7" s="312"/>
      <c r="AI7" s="312"/>
      <c r="AJ7" s="312"/>
      <c r="AK7" s="312"/>
      <c r="AL7" s="312"/>
      <c r="AM7" s="309"/>
      <c r="AN7" s="310"/>
      <c r="AO7" s="308"/>
      <c r="AP7" s="308"/>
      <c r="AQ7" s="308"/>
      <c r="AR7" s="308"/>
      <c r="AS7" s="311"/>
      <c r="AT7" s="19" t="s">
        <v>23</v>
      </c>
    </row>
    <row r="8" spans="1:57" ht="21.75" customHeight="1">
      <c r="A8" s="1754" t="s">
        <v>352</v>
      </c>
      <c r="B8" s="1755"/>
      <c r="C8" s="1756" t="s">
        <v>344</v>
      </c>
      <c r="D8" s="1757"/>
      <c r="E8" s="1757"/>
      <c r="F8" s="1758"/>
      <c r="G8" s="313" t="s">
        <v>353</v>
      </c>
      <c r="H8" s="314"/>
      <c r="I8" s="1759" t="s">
        <v>23</v>
      </c>
      <c r="J8" s="1760"/>
      <c r="K8" s="315"/>
      <c r="L8" s="316"/>
      <c r="M8" s="317"/>
      <c r="N8" s="317"/>
      <c r="O8" s="317"/>
      <c r="P8" s="317"/>
      <c r="Q8" s="318"/>
      <c r="R8" s="317"/>
      <c r="S8" s="316"/>
      <c r="T8" s="1761" t="s">
        <v>354</v>
      </c>
      <c r="U8" s="1762"/>
      <c r="V8" s="317" t="s">
        <v>23</v>
      </c>
      <c r="W8" s="317" t="s">
        <v>355</v>
      </c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5"/>
      <c r="AN8" s="316"/>
      <c r="AO8" s="317"/>
      <c r="AP8" s="317"/>
      <c r="AQ8" s="317"/>
      <c r="AR8" s="317"/>
      <c r="AS8" s="318"/>
      <c r="AT8" s="320"/>
    </row>
    <row r="9" spans="1:57" ht="21.75">
      <c r="A9" s="321"/>
      <c r="B9" s="322"/>
      <c r="C9" s="323" t="s">
        <v>356</v>
      </c>
      <c r="D9" s="323" t="s">
        <v>356</v>
      </c>
      <c r="E9" s="323" t="s">
        <v>356</v>
      </c>
      <c r="F9" s="323" t="s">
        <v>26</v>
      </c>
      <c r="G9" s="20" t="s">
        <v>357</v>
      </c>
      <c r="H9" s="313" t="s">
        <v>358</v>
      </c>
      <c r="I9" s="1759"/>
      <c r="J9" s="1760"/>
      <c r="K9" s="315"/>
      <c r="L9" s="316" t="s">
        <v>359</v>
      </c>
      <c r="M9" s="317" t="s">
        <v>360</v>
      </c>
      <c r="N9" s="317" t="s">
        <v>361</v>
      </c>
      <c r="O9" s="317" t="s">
        <v>362</v>
      </c>
      <c r="P9" s="317" t="s">
        <v>363</v>
      </c>
      <c r="Q9" s="318" t="s">
        <v>26</v>
      </c>
      <c r="R9" s="317" t="s">
        <v>364</v>
      </c>
      <c r="S9" s="316" t="s">
        <v>355</v>
      </c>
      <c r="T9" s="1761"/>
      <c r="U9" s="1762"/>
      <c r="V9" s="317" t="s">
        <v>365</v>
      </c>
      <c r="W9" s="317" t="s">
        <v>344</v>
      </c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19"/>
      <c r="AK9" s="319"/>
      <c r="AL9" s="319"/>
      <c r="AM9" s="315"/>
      <c r="AN9" s="316" t="s">
        <v>359</v>
      </c>
      <c r="AO9" s="317" t="s">
        <v>360</v>
      </c>
      <c r="AP9" s="317" t="s">
        <v>361</v>
      </c>
      <c r="AQ9" s="317" t="s">
        <v>362</v>
      </c>
      <c r="AR9" s="317" t="s">
        <v>363</v>
      </c>
      <c r="AS9" s="318" t="s">
        <v>26</v>
      </c>
      <c r="AT9" s="320" t="s">
        <v>364</v>
      </c>
      <c r="AV9" s="1746" t="s">
        <v>1275</v>
      </c>
      <c r="AW9" s="324"/>
      <c r="AX9" s="1734" t="s">
        <v>238</v>
      </c>
    </row>
    <row r="10" spans="1:57" ht="21.75" thickBot="1">
      <c r="A10" s="1763" t="s">
        <v>366</v>
      </c>
      <c r="B10" s="1764"/>
      <c r="C10" s="325" t="s">
        <v>367</v>
      </c>
      <c r="D10" s="325" t="s">
        <v>368</v>
      </c>
      <c r="E10" s="325" t="s">
        <v>369</v>
      </c>
      <c r="F10" s="325" t="s">
        <v>370</v>
      </c>
      <c r="G10" s="325"/>
      <c r="H10" s="326"/>
      <c r="I10" s="1765"/>
      <c r="J10" s="1764"/>
      <c r="K10" s="327"/>
      <c r="L10" s="328"/>
      <c r="M10" s="325"/>
      <c r="N10" s="325"/>
      <c r="O10" s="325"/>
      <c r="P10" s="325"/>
      <c r="Q10" s="329"/>
      <c r="R10" s="330">
        <v>1</v>
      </c>
      <c r="S10" s="328"/>
      <c r="T10" s="1765"/>
      <c r="U10" s="1764"/>
      <c r="V10" s="325"/>
      <c r="W10" s="325"/>
      <c r="X10" s="331"/>
      <c r="Y10" s="331"/>
      <c r="Z10" s="331"/>
      <c r="AA10" s="331"/>
      <c r="AB10" s="331"/>
      <c r="AC10" s="331"/>
      <c r="AD10" s="331"/>
      <c r="AE10" s="331"/>
      <c r="AF10" s="331"/>
      <c r="AG10" s="331"/>
      <c r="AH10" s="331"/>
      <c r="AI10" s="331"/>
      <c r="AJ10" s="331"/>
      <c r="AK10" s="331"/>
      <c r="AL10" s="331"/>
      <c r="AM10" s="327"/>
      <c r="AN10" s="328"/>
      <c r="AO10" s="325"/>
      <c r="AP10" s="325"/>
      <c r="AQ10" s="325"/>
      <c r="AR10" s="325"/>
      <c r="AS10" s="329"/>
      <c r="AT10" s="332">
        <v>2</v>
      </c>
      <c r="AV10" s="1747"/>
      <c r="AW10" s="333">
        <f>ปร.4_1!M171+ปร.4_2!M89</f>
        <v>518779.71</v>
      </c>
      <c r="AX10" s="1735"/>
      <c r="BD10" s="334">
        <f>ปร.4_1!M171+ปร.4_2!M89</f>
        <v>518779.71</v>
      </c>
    </row>
    <row r="11" spans="1:57">
      <c r="A11" s="335" t="s">
        <v>371</v>
      </c>
      <c r="B11" s="336">
        <v>5</v>
      </c>
      <c r="C11" s="337">
        <v>18.2361</v>
      </c>
      <c r="D11" s="337">
        <v>0.66249999999999998</v>
      </c>
      <c r="E11" s="337">
        <v>5.5</v>
      </c>
      <c r="F11" s="337">
        <v>24.398599999999998</v>
      </c>
      <c r="G11" s="338">
        <v>1.244</v>
      </c>
      <c r="H11" s="338">
        <v>1.07</v>
      </c>
      <c r="I11" s="339">
        <v>1.3310999999999999</v>
      </c>
      <c r="J11" s="340"/>
      <c r="K11" s="337"/>
      <c r="L11" s="340">
        <v>0.16250000000000001</v>
      </c>
      <c r="M11" s="338">
        <v>18.073599999999999</v>
      </c>
      <c r="N11" s="338">
        <v>0.75306666666666666</v>
      </c>
      <c r="O11" s="338">
        <v>0.58333333333333315</v>
      </c>
      <c r="P11" s="338">
        <v>0.625</v>
      </c>
      <c r="Q11" s="341">
        <v>1.9613999999999998</v>
      </c>
      <c r="R11" s="342">
        <v>1.3512</v>
      </c>
      <c r="S11" s="341">
        <v>2.0986979999999988E-2</v>
      </c>
      <c r="T11" s="343">
        <v>1.3053950066666666</v>
      </c>
      <c r="U11" s="344"/>
      <c r="V11" s="338">
        <v>1.3536188366666668</v>
      </c>
      <c r="W11" s="345">
        <v>-2.1372358333333397</v>
      </c>
      <c r="X11" s="346"/>
      <c r="Y11" s="347"/>
      <c r="Z11" s="347"/>
      <c r="AA11" s="347"/>
      <c r="AB11" s="347"/>
      <c r="AC11" s="347"/>
      <c r="AD11" s="347"/>
      <c r="AE11" s="347"/>
      <c r="AF11" s="347"/>
      <c r="AG11" s="347"/>
      <c r="AH11" s="347"/>
      <c r="AI11" s="347"/>
      <c r="AJ11" s="347"/>
      <c r="AK11" s="347"/>
      <c r="AL11" s="347"/>
      <c r="AM11" s="337"/>
      <c r="AN11" s="340">
        <v>0.16250000000000001</v>
      </c>
      <c r="AO11" s="338">
        <v>18.073599999999999</v>
      </c>
      <c r="AP11" s="338">
        <v>1.5061333333333333</v>
      </c>
      <c r="AQ11" s="338">
        <v>1.1666666666666663</v>
      </c>
      <c r="AR11" s="338">
        <v>1.25</v>
      </c>
      <c r="AS11" s="341">
        <v>3.9227999999999996</v>
      </c>
      <c r="AT11" s="348">
        <v>1.3713</v>
      </c>
      <c r="AV11" s="349" t="s">
        <v>1278</v>
      </c>
      <c r="AW11" s="350">
        <f>ROUNDDOWN(AW10/1000000,2)</f>
        <v>0.51</v>
      </c>
      <c r="AX11" s="351" t="s">
        <v>366</v>
      </c>
      <c r="AY11" s="352"/>
      <c r="AZ11" s="352"/>
      <c r="BA11" s="352"/>
      <c r="BD11" s="353">
        <f>BD10</f>
        <v>518779.71</v>
      </c>
      <c r="BE11" s="354">
        <f>R11-R12</f>
        <v>4.489999999999994E-2</v>
      </c>
    </row>
    <row r="12" spans="1:57">
      <c r="A12" s="355"/>
      <c r="B12" s="356">
        <v>10</v>
      </c>
      <c r="C12" s="357">
        <v>14.04095</v>
      </c>
      <c r="D12" s="357">
        <v>0.55000000000000004</v>
      </c>
      <c r="E12" s="357">
        <v>5.5</v>
      </c>
      <c r="F12" s="357">
        <v>20.091000000000001</v>
      </c>
      <c r="G12" s="358">
        <v>1.2009000000000001</v>
      </c>
      <c r="H12" s="358">
        <v>1.07</v>
      </c>
      <c r="I12" s="359">
        <v>1.2849999999999999</v>
      </c>
      <c r="J12" s="360"/>
      <c r="K12" s="357"/>
      <c r="L12" s="360">
        <v>0.19375000000000001</v>
      </c>
      <c r="M12" s="358">
        <v>13.847200000000001</v>
      </c>
      <c r="N12" s="358">
        <v>0.86545000000000005</v>
      </c>
      <c r="O12" s="358">
        <v>0.58333333333333315</v>
      </c>
      <c r="P12" s="358">
        <v>0.625</v>
      </c>
      <c r="Q12" s="361">
        <v>2.0737833333333331</v>
      </c>
      <c r="R12" s="362">
        <v>1.3063</v>
      </c>
      <c r="S12" s="361">
        <v>2.2189481666666566E-2</v>
      </c>
      <c r="T12" s="363">
        <v>1.2677558841666667</v>
      </c>
      <c r="U12" s="364"/>
      <c r="V12" s="358">
        <v>1.3158596066666668</v>
      </c>
      <c r="W12" s="365">
        <v>-2.9905608333333333</v>
      </c>
      <c r="X12" s="366"/>
      <c r="Y12" s="367"/>
      <c r="Z12" s="367"/>
      <c r="AA12" s="367"/>
      <c r="AB12" s="367"/>
      <c r="AC12" s="367"/>
      <c r="AD12" s="367"/>
      <c r="AE12" s="367"/>
      <c r="AF12" s="367"/>
      <c r="AG12" s="367"/>
      <c r="AH12" s="367"/>
      <c r="AI12" s="367"/>
      <c r="AJ12" s="367"/>
      <c r="AK12" s="367"/>
      <c r="AL12" s="367"/>
      <c r="AM12" s="357"/>
      <c r="AN12" s="360">
        <v>0.19375000000000001</v>
      </c>
      <c r="AO12" s="358">
        <v>13.847200000000001</v>
      </c>
      <c r="AP12" s="358">
        <v>1.7309000000000001</v>
      </c>
      <c r="AQ12" s="358">
        <v>1.1666666666666663</v>
      </c>
      <c r="AR12" s="358">
        <v>1.25</v>
      </c>
      <c r="AS12" s="361">
        <v>4.1475666666666662</v>
      </c>
      <c r="AT12" s="368">
        <v>1.3275999999999999</v>
      </c>
      <c r="AV12" s="349" t="s">
        <v>1279</v>
      </c>
      <c r="AW12" s="369">
        <f>IF(AW11&lt;=B11,0,IF(AND(B11&lt;AW11,AW11&lt;=B12),B11,IF(AND(B12&lt;AW11,AW11&lt;=B13),B12,IF(AND(B13&lt;AW11,AW11&lt;=B14),B13,IF(AND(B14&lt;AW11,AW11&lt;=B15),B14,IF(AND(B15&lt;AW11,AW11&lt;=B16),B15,IF(AND(B16&lt;AW11,AW11&lt;=B17),B16,IF(AND(B17&lt;AW11,AW11&lt;=B18),B17,IF(AND(B18&lt;AW11,AW11&lt;=B19),B18,IF(AND(B19&lt;AW11,AW11&lt;=B20),B19,"A"))))))))))</f>
        <v>0</v>
      </c>
      <c r="AX12" s="351" t="s">
        <v>366</v>
      </c>
      <c r="AY12" s="349" t="s">
        <v>1276</v>
      </c>
      <c r="AZ12" s="370">
        <f>IF(AW12=0,0,ROUNDDOWN(VLOOKUP(AW12,B11:AT20,17),4))</f>
        <v>0</v>
      </c>
      <c r="BD12" s="353">
        <f>B11*1000000</f>
        <v>5000000</v>
      </c>
      <c r="BE12" s="353">
        <f>(B12-B11)*1000000</f>
        <v>5000000</v>
      </c>
    </row>
    <row r="13" spans="1:57">
      <c r="A13" s="371"/>
      <c r="B13" s="336">
        <v>20</v>
      </c>
      <c r="C13" s="337">
        <v>9.7858000000000018</v>
      </c>
      <c r="D13" s="337">
        <v>0.4375</v>
      </c>
      <c r="E13" s="337">
        <v>5.5</v>
      </c>
      <c r="F13" s="337">
        <v>15.7233</v>
      </c>
      <c r="G13" s="338">
        <v>1.1572</v>
      </c>
      <c r="H13" s="338">
        <v>1.07</v>
      </c>
      <c r="I13" s="339">
        <v>1.2382</v>
      </c>
      <c r="J13" s="340"/>
      <c r="K13" s="337"/>
      <c r="L13" s="340">
        <v>0.22500000000000001</v>
      </c>
      <c r="M13" s="338">
        <v>9.5608000000000022</v>
      </c>
      <c r="N13" s="338">
        <v>0.79673333333333352</v>
      </c>
      <c r="O13" s="338">
        <v>0.58333333333333315</v>
      </c>
      <c r="P13" s="338">
        <v>0.625</v>
      </c>
      <c r="Q13" s="341">
        <v>2.0050666666666666</v>
      </c>
      <c r="R13" s="342">
        <v>1.2587999999999999</v>
      </c>
      <c r="S13" s="341">
        <v>2.1454213333333305E-2</v>
      </c>
      <c r="T13" s="343">
        <v>1.2303173866666668</v>
      </c>
      <c r="U13" s="344"/>
      <c r="V13" s="338">
        <v>1.2763616266666666</v>
      </c>
      <c r="W13" s="345">
        <v>-3.7342108333333179</v>
      </c>
      <c r="X13" s="346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7"/>
      <c r="AK13" s="347"/>
      <c r="AL13" s="347"/>
      <c r="AM13" s="337"/>
      <c r="AN13" s="340">
        <v>0.22500000000000001</v>
      </c>
      <c r="AO13" s="338">
        <v>9.5608000000000022</v>
      </c>
      <c r="AP13" s="338">
        <v>1.593466666666667</v>
      </c>
      <c r="AQ13" s="338">
        <v>1.1666666666666663</v>
      </c>
      <c r="AR13" s="338">
        <v>1.25</v>
      </c>
      <c r="AS13" s="341">
        <v>4.0101333333333331</v>
      </c>
      <c r="AT13" s="348">
        <v>1.2794000000000001</v>
      </c>
      <c r="AV13" s="349" t="s">
        <v>1280</v>
      </c>
      <c r="AW13" s="369">
        <f>IF(AW11&lt;=B11,B11,IF(AND(B11&lt;AW11,AW11&lt;=B12),B12,IF(AND(B12&lt;AW11,AW11&lt;=B13),B13,IF(AND(B13&lt;AW11,AW11&lt;=B14),B14,IF(AND(B14&lt;AW11,AW11&lt;=B15),B15,IF(AND(B15&lt;AW11,AW11&lt;=B16),B16,IF(AND(B16&lt;AW11,AW11&lt;=B17),B17,IF(AND(B17&lt;AW11,AW11&lt;=B18),B18,IF(AND(B18&lt;AW11,AW11&lt;=B19),B19,IF(AND(B19&lt;AW11,AW11&lt;=B20),B20,"B"))))))))))</f>
        <v>5</v>
      </c>
      <c r="AX13" s="351" t="s">
        <v>366</v>
      </c>
      <c r="AY13" s="349" t="s">
        <v>1277</v>
      </c>
      <c r="AZ13" s="370">
        <f>IF(AW13=0,0,ROUNDDOWN(VLOOKUP(AW13,B11:AT20,17),4))</f>
        <v>1.3512</v>
      </c>
      <c r="BD13" s="353">
        <f>BD11-BD12</f>
        <v>-4481220.29</v>
      </c>
      <c r="BE13" s="372">
        <f>BE11/BE12*BD13</f>
        <v>-4.0241358204199947E-2</v>
      </c>
    </row>
    <row r="14" spans="1:57">
      <c r="A14" s="373"/>
      <c r="B14" s="374">
        <v>30</v>
      </c>
      <c r="C14" s="375">
        <v>6.9081999999999999</v>
      </c>
      <c r="D14" s="375">
        <v>0.4375</v>
      </c>
      <c r="E14" s="375">
        <v>5.5</v>
      </c>
      <c r="F14" s="375">
        <v>12.845700000000001</v>
      </c>
      <c r="G14" s="376">
        <v>1.1285000000000001</v>
      </c>
      <c r="H14" s="376">
        <v>1.07</v>
      </c>
      <c r="I14" s="377">
        <v>1.2074</v>
      </c>
      <c r="J14" s="378"/>
      <c r="K14" s="379"/>
      <c r="L14" s="378">
        <v>0.22500000000000001</v>
      </c>
      <c r="M14" s="380">
        <v>6.6832000000000003</v>
      </c>
      <c r="N14" s="380">
        <v>0.55693333333333339</v>
      </c>
      <c r="O14" s="380">
        <v>0.58333333333333315</v>
      </c>
      <c r="P14" s="380">
        <v>0.625</v>
      </c>
      <c r="Q14" s="381">
        <v>1.7652666666666665</v>
      </c>
      <c r="R14" s="382">
        <v>1.2254</v>
      </c>
      <c r="S14" s="381">
        <v>1.8888353333333274E-2</v>
      </c>
      <c r="T14" s="383">
        <v>1.2046673466666666</v>
      </c>
      <c r="U14" s="384"/>
      <c r="V14" s="380">
        <v>1.2484959733333334</v>
      </c>
      <c r="W14" s="385">
        <v>-4.0266774999999866</v>
      </c>
      <c r="X14" s="386"/>
      <c r="Y14" s="387"/>
      <c r="Z14" s="387"/>
      <c r="AA14" s="387"/>
      <c r="AB14" s="387"/>
      <c r="AC14" s="387"/>
      <c r="AD14" s="387"/>
      <c r="AE14" s="387"/>
      <c r="AF14" s="387"/>
      <c r="AG14" s="387"/>
      <c r="AH14" s="387"/>
      <c r="AI14" s="387"/>
      <c r="AJ14" s="387"/>
      <c r="AK14" s="387"/>
      <c r="AL14" s="387"/>
      <c r="AM14" s="379"/>
      <c r="AN14" s="378">
        <v>0.22500000000000001</v>
      </c>
      <c r="AO14" s="380">
        <v>6.6832000000000003</v>
      </c>
      <c r="AP14" s="380">
        <v>1.1138666666666668</v>
      </c>
      <c r="AQ14" s="380">
        <v>1.1666666666666663</v>
      </c>
      <c r="AR14" s="380">
        <v>1.25</v>
      </c>
      <c r="AS14" s="381">
        <v>3.5305333333333331</v>
      </c>
      <c r="AT14" s="388">
        <v>1.2434000000000001</v>
      </c>
      <c r="AV14" s="351"/>
      <c r="AW14" s="351"/>
      <c r="AX14" s="351"/>
      <c r="BD14" s="372"/>
      <c r="BE14" s="389">
        <f>ROUND(R11-BE13,4)</f>
        <v>1.3914</v>
      </c>
    </row>
    <row r="15" spans="1:57">
      <c r="A15" s="373"/>
      <c r="B15" s="374">
        <v>40</v>
      </c>
      <c r="C15" s="375">
        <v>6.989866666666666</v>
      </c>
      <c r="D15" s="375">
        <v>0.28749999999999998</v>
      </c>
      <c r="E15" s="375">
        <v>5</v>
      </c>
      <c r="F15" s="375">
        <v>12.2774</v>
      </c>
      <c r="G15" s="376">
        <v>1.1228</v>
      </c>
      <c r="H15" s="376">
        <v>1.07</v>
      </c>
      <c r="I15" s="377">
        <v>1.2014</v>
      </c>
      <c r="J15" s="378"/>
      <c r="K15" s="379"/>
      <c r="L15" s="378">
        <v>0.26666666666666666</v>
      </c>
      <c r="M15" s="380">
        <v>6.7231999999999994</v>
      </c>
      <c r="N15" s="380">
        <v>0.74702222222222214</v>
      </c>
      <c r="O15" s="380">
        <v>0.58333333333333315</v>
      </c>
      <c r="P15" s="380">
        <v>0.625</v>
      </c>
      <c r="Q15" s="381">
        <v>1.9553555555555553</v>
      </c>
      <c r="R15" s="382">
        <v>1.2214</v>
      </c>
      <c r="S15" s="381">
        <v>2.0922304444444428E-2</v>
      </c>
      <c r="T15" s="383">
        <v>1.1973482791666668</v>
      </c>
      <c r="U15" s="384"/>
      <c r="V15" s="380">
        <v>1.2449946955555558</v>
      </c>
      <c r="W15" s="385">
        <v>-4.3114163888889001</v>
      </c>
      <c r="X15" s="386"/>
      <c r="Y15" s="387"/>
      <c r="Z15" s="387"/>
      <c r="AA15" s="387"/>
      <c r="AB15" s="387"/>
      <c r="AC15" s="387"/>
      <c r="AD15" s="387"/>
      <c r="AE15" s="387"/>
      <c r="AF15" s="387"/>
      <c r="AG15" s="387"/>
      <c r="AH15" s="387"/>
      <c r="AI15" s="387"/>
      <c r="AJ15" s="387"/>
      <c r="AK15" s="387"/>
      <c r="AL15" s="387"/>
      <c r="AM15" s="379"/>
      <c r="AN15" s="378">
        <v>0.26666666666666666</v>
      </c>
      <c r="AO15" s="380">
        <v>6.7231999999999994</v>
      </c>
      <c r="AP15" s="380">
        <v>1.4940444444444443</v>
      </c>
      <c r="AQ15" s="380">
        <v>1.1666666666666663</v>
      </c>
      <c r="AR15" s="380">
        <v>1.25</v>
      </c>
      <c r="AS15" s="381">
        <v>3.9107111111111106</v>
      </c>
      <c r="AT15" s="388">
        <v>1.2414000000000001</v>
      </c>
      <c r="AV15" s="284" t="s">
        <v>1787</v>
      </c>
      <c r="AY15" s="390">
        <f>IF(AW11&lt;B11,R11,ROUNDDOWN(AZ12+((AZ13-AZ12)*(AW10-(AW12*1000000))/((AW13-AW12)*1000000)),4))</f>
        <v>1.3512</v>
      </c>
    </row>
    <row r="16" spans="1:57" ht="21.75" customHeight="1">
      <c r="A16" s="373"/>
      <c r="B16" s="374">
        <v>50</v>
      </c>
      <c r="C16" s="375">
        <v>6.4551799999999995</v>
      </c>
      <c r="D16" s="375">
        <v>0.21249999999999999</v>
      </c>
      <c r="E16" s="375">
        <v>5</v>
      </c>
      <c r="F16" s="375">
        <v>11.6677</v>
      </c>
      <c r="G16" s="376">
        <v>1.1167</v>
      </c>
      <c r="H16" s="376">
        <v>1.07</v>
      </c>
      <c r="I16" s="377">
        <v>1.1948000000000001</v>
      </c>
      <c r="J16" s="378"/>
      <c r="K16" s="379"/>
      <c r="L16" s="378">
        <v>0.28749999999999998</v>
      </c>
      <c r="M16" s="380">
        <v>6.1676799999999998</v>
      </c>
      <c r="N16" s="380">
        <v>0.77095999999999998</v>
      </c>
      <c r="O16" s="380">
        <v>0.58333333333333315</v>
      </c>
      <c r="P16" s="380">
        <v>0.625</v>
      </c>
      <c r="Q16" s="381">
        <v>1.9792933333333331</v>
      </c>
      <c r="R16" s="382">
        <v>1.2151000000000001</v>
      </c>
      <c r="S16" s="381">
        <v>2.1178438666666466E-2</v>
      </c>
      <c r="T16" s="383">
        <v>1.1968623386666668</v>
      </c>
      <c r="U16" s="384"/>
      <c r="V16" s="380">
        <v>1.2401996926666667</v>
      </c>
      <c r="W16" s="385">
        <v>-4.497655833333325</v>
      </c>
      <c r="X16" s="386"/>
      <c r="Y16" s="387"/>
      <c r="Z16" s="387"/>
      <c r="AA16" s="387"/>
      <c r="AB16" s="387"/>
      <c r="AC16" s="387"/>
      <c r="AD16" s="387"/>
      <c r="AE16" s="387"/>
      <c r="AF16" s="387"/>
      <c r="AG16" s="387"/>
      <c r="AH16" s="387"/>
      <c r="AI16" s="387"/>
      <c r="AJ16" s="387"/>
      <c r="AK16" s="387"/>
      <c r="AL16" s="387"/>
      <c r="AM16" s="379"/>
      <c r="AN16" s="378">
        <v>0.28749999999999998</v>
      </c>
      <c r="AO16" s="380">
        <v>6.1676799999999998</v>
      </c>
      <c r="AP16" s="380">
        <v>1.54192</v>
      </c>
      <c r="AQ16" s="380">
        <v>1.1666666666666663</v>
      </c>
      <c r="AR16" s="380">
        <v>1.25</v>
      </c>
      <c r="AS16" s="381">
        <v>3.9585866666666663</v>
      </c>
      <c r="AT16" s="388">
        <v>1.2354000000000001</v>
      </c>
    </row>
    <row r="17" spans="1:55">
      <c r="A17" s="373"/>
      <c r="B17" s="374">
        <v>60</v>
      </c>
      <c r="C17" s="375">
        <v>5.5918999999999999</v>
      </c>
      <c r="D17" s="375">
        <v>0.21249999999999999</v>
      </c>
      <c r="E17" s="375">
        <v>5</v>
      </c>
      <c r="F17" s="375">
        <v>10.804399999999999</v>
      </c>
      <c r="G17" s="376">
        <v>1.1080000000000001</v>
      </c>
      <c r="H17" s="376">
        <v>1.07</v>
      </c>
      <c r="I17" s="377">
        <v>1.1856</v>
      </c>
      <c r="J17" s="378"/>
      <c r="K17" s="379"/>
      <c r="L17" s="378">
        <v>0.28749999999999998</v>
      </c>
      <c r="M17" s="380">
        <v>5.3044000000000002</v>
      </c>
      <c r="N17" s="380">
        <v>0.66305000000000003</v>
      </c>
      <c r="O17" s="380">
        <v>0.58333333333333315</v>
      </c>
      <c r="P17" s="380">
        <v>0.625</v>
      </c>
      <c r="Q17" s="381">
        <v>1.8713833333333332</v>
      </c>
      <c r="R17" s="382">
        <v>1.2047000000000001</v>
      </c>
      <c r="S17" s="381">
        <v>2.002380166666673E-2</v>
      </c>
      <c r="T17" s="383">
        <v>1.1972182741666668</v>
      </c>
      <c r="U17" s="384"/>
      <c r="V17" s="380">
        <v>1.2316206466666668</v>
      </c>
      <c r="W17" s="385">
        <v>-4.5634608333333437</v>
      </c>
      <c r="X17" s="386"/>
      <c r="Y17" s="387"/>
      <c r="Z17" s="387"/>
      <c r="AA17" s="387"/>
      <c r="AB17" s="387"/>
      <c r="AC17" s="387"/>
      <c r="AD17" s="387"/>
      <c r="AE17" s="387"/>
      <c r="AF17" s="387"/>
      <c r="AG17" s="387"/>
      <c r="AH17" s="387"/>
      <c r="AI17" s="387"/>
      <c r="AJ17" s="387"/>
      <c r="AK17" s="387"/>
      <c r="AL17" s="387"/>
      <c r="AM17" s="379"/>
      <c r="AN17" s="378">
        <v>0.28749999999999998</v>
      </c>
      <c r="AO17" s="380">
        <v>5.3044000000000002</v>
      </c>
      <c r="AP17" s="380">
        <v>1.3261000000000001</v>
      </c>
      <c r="AQ17" s="380">
        <v>1.1666666666666663</v>
      </c>
      <c r="AR17" s="380">
        <v>1.25</v>
      </c>
      <c r="AS17" s="381">
        <v>3.7427666666666664</v>
      </c>
      <c r="AT17" s="388">
        <v>1.2239</v>
      </c>
      <c r="AV17" s="1734" t="s">
        <v>1281</v>
      </c>
      <c r="AW17" s="1737" t="str">
        <f>FIXED(AZ12,4)</f>
        <v>0.0000</v>
      </c>
      <c r="AX17" s="1740" t="s">
        <v>1129</v>
      </c>
      <c r="AY17" s="1740" t="str">
        <f>"( "&amp;FIXED(AZ13,4)&amp;" - "&amp;FIXED(AZ12,4)&amp;" ) x ( "&amp;FIXED(AW10,2)&amp;" - "&amp;FIXED(AW12*1000000,2)&amp;" )"</f>
        <v>( 1.3512 - 0.0000 ) x ( 518,779.71 - 0.00 )</v>
      </c>
      <c r="AZ17" s="1740"/>
      <c r="BA17" s="1740"/>
      <c r="BB17" s="1740"/>
      <c r="BC17" s="1743"/>
    </row>
    <row r="18" spans="1:55">
      <c r="A18" s="373"/>
      <c r="B18" s="374">
        <v>70</v>
      </c>
      <c r="C18" s="375">
        <v>5.4048023809523809</v>
      </c>
      <c r="D18" s="375">
        <v>0.17499999999999999</v>
      </c>
      <c r="E18" s="375">
        <v>4.5</v>
      </c>
      <c r="F18" s="375">
        <v>10.079800000000001</v>
      </c>
      <c r="G18" s="376">
        <v>1.1008</v>
      </c>
      <c r="H18" s="376">
        <v>1.07</v>
      </c>
      <c r="I18" s="377">
        <v>1.1778999999999999</v>
      </c>
      <c r="J18" s="378"/>
      <c r="K18" s="379"/>
      <c r="L18" s="378">
        <v>0.29791666666666666</v>
      </c>
      <c r="M18" s="380">
        <v>5.1068857142857143</v>
      </c>
      <c r="N18" s="380">
        <v>0.6738251984126985</v>
      </c>
      <c r="O18" s="380">
        <v>0.58333333333333315</v>
      </c>
      <c r="P18" s="380">
        <v>0.625</v>
      </c>
      <c r="Q18" s="381">
        <v>1.8821585317460316</v>
      </c>
      <c r="R18" s="382">
        <v>1.1971000000000001</v>
      </c>
      <c r="S18" s="381">
        <v>2.0139096289682357E-2</v>
      </c>
      <c r="T18" s="383">
        <v>1.1875819433333334</v>
      </c>
      <c r="U18" s="384"/>
      <c r="V18" s="380">
        <v>1.2244045751587302</v>
      </c>
      <c r="W18" s="385">
        <v>-4.6238606349206401</v>
      </c>
      <c r="X18" s="386"/>
      <c r="Y18" s="387"/>
      <c r="Z18" s="387"/>
      <c r="AA18" s="387"/>
      <c r="AB18" s="387"/>
      <c r="AC18" s="387"/>
      <c r="AD18" s="387"/>
      <c r="AE18" s="387"/>
      <c r="AF18" s="387"/>
      <c r="AG18" s="387"/>
      <c r="AH18" s="387"/>
      <c r="AI18" s="387"/>
      <c r="AJ18" s="387"/>
      <c r="AK18" s="387"/>
      <c r="AL18" s="387"/>
      <c r="AM18" s="379"/>
      <c r="AN18" s="378">
        <v>0.29791666666666666</v>
      </c>
      <c r="AO18" s="380">
        <v>5.1068857142857143</v>
      </c>
      <c r="AP18" s="380">
        <v>1.347650396825397</v>
      </c>
      <c r="AQ18" s="380">
        <v>1.1666666666666663</v>
      </c>
      <c r="AR18" s="380">
        <v>1.25</v>
      </c>
      <c r="AS18" s="381">
        <v>3.7643170634920633</v>
      </c>
      <c r="AT18" s="388">
        <v>1.2162999999999999</v>
      </c>
      <c r="AV18" s="1736"/>
      <c r="AW18" s="1738"/>
      <c r="AX18" s="1741"/>
      <c r="AY18" s="1741"/>
      <c r="AZ18" s="1741"/>
      <c r="BA18" s="1741"/>
      <c r="BB18" s="1741"/>
      <c r="BC18" s="1744"/>
    </row>
    <row r="19" spans="1:55">
      <c r="A19" s="373"/>
      <c r="B19" s="374">
        <v>80</v>
      </c>
      <c r="C19" s="375">
        <v>5.1508333333333329</v>
      </c>
      <c r="D19" s="375">
        <v>0.13750000000000001</v>
      </c>
      <c r="E19" s="375">
        <v>4.5</v>
      </c>
      <c r="F19" s="375">
        <v>9.7882999999999996</v>
      </c>
      <c r="G19" s="376">
        <v>1.0979000000000001</v>
      </c>
      <c r="H19" s="376">
        <v>1.07</v>
      </c>
      <c r="I19" s="377">
        <v>1.1747000000000001</v>
      </c>
      <c r="J19" s="378"/>
      <c r="K19" s="379"/>
      <c r="L19" s="378">
        <v>0.30833333333333335</v>
      </c>
      <c r="M19" s="380">
        <v>4.8424999999999994</v>
      </c>
      <c r="N19" s="380">
        <v>0.67256944444444444</v>
      </c>
      <c r="O19" s="380">
        <v>0.58333333333333315</v>
      </c>
      <c r="P19" s="380">
        <v>0.625</v>
      </c>
      <c r="Q19" s="381">
        <v>1.8809027777777776</v>
      </c>
      <c r="R19" s="382">
        <v>1.194</v>
      </c>
      <c r="S19" s="381">
        <v>2.0125659722222133E-2</v>
      </c>
      <c r="T19" s="383">
        <v>1.1822910608333335</v>
      </c>
      <c r="U19" s="384"/>
      <c r="V19" s="380">
        <v>1.2221070388888891</v>
      </c>
      <c r="W19" s="385">
        <v>-4.7126663888888976</v>
      </c>
      <c r="X19" s="386"/>
      <c r="Y19" s="387"/>
      <c r="Z19" s="387"/>
      <c r="AA19" s="387"/>
      <c r="AB19" s="387"/>
      <c r="AC19" s="387"/>
      <c r="AD19" s="387"/>
      <c r="AE19" s="387"/>
      <c r="AF19" s="387"/>
      <c r="AG19" s="387"/>
      <c r="AH19" s="387"/>
      <c r="AI19" s="387"/>
      <c r="AJ19" s="387"/>
      <c r="AK19" s="387"/>
      <c r="AL19" s="387"/>
      <c r="AM19" s="379"/>
      <c r="AN19" s="378">
        <v>0.30833333333333335</v>
      </c>
      <c r="AO19" s="380">
        <v>4.8424999999999994</v>
      </c>
      <c r="AP19" s="380">
        <v>1.3451388888888889</v>
      </c>
      <c r="AQ19" s="380">
        <v>1.1666666666666663</v>
      </c>
      <c r="AR19" s="380">
        <v>1.25</v>
      </c>
      <c r="AS19" s="381">
        <v>3.7618055555555552</v>
      </c>
      <c r="AT19" s="388">
        <v>1.2132000000000001</v>
      </c>
      <c r="AV19" s="1736"/>
      <c r="AW19" s="1738"/>
      <c r="AX19" s="1741"/>
      <c r="AY19" s="1741" t="str">
        <f>FIXED(AW13*1000000,2)&amp;" - "&amp;FIXED(AW12*1000000,2)</f>
        <v>5,000,000.00 - 0.00</v>
      </c>
      <c r="AZ19" s="1741"/>
      <c r="BA19" s="1741"/>
      <c r="BB19" s="1741"/>
      <c r="BC19" s="1744"/>
    </row>
    <row r="20" spans="1:55">
      <c r="A20" s="371"/>
      <c r="B20" s="336">
        <v>90</v>
      </c>
      <c r="C20" s="337">
        <v>4.769222222222222</v>
      </c>
      <c r="D20" s="337">
        <v>0.13750000000000001</v>
      </c>
      <c r="E20" s="337">
        <v>4.5</v>
      </c>
      <c r="F20" s="337">
        <v>9.4067000000000007</v>
      </c>
      <c r="G20" s="338">
        <v>1.0941000000000001</v>
      </c>
      <c r="H20" s="338">
        <v>1.07</v>
      </c>
      <c r="I20" s="339">
        <v>1.1707000000000001</v>
      </c>
      <c r="J20" s="340"/>
      <c r="K20" s="337"/>
      <c r="L20" s="340">
        <v>0.30833333333333335</v>
      </c>
      <c r="M20" s="338">
        <v>4.4608888888888885</v>
      </c>
      <c r="N20" s="338">
        <v>0.61956790123456784</v>
      </c>
      <c r="O20" s="338">
        <v>0.58333333333333315</v>
      </c>
      <c r="P20" s="338">
        <v>0.625</v>
      </c>
      <c r="Q20" s="341">
        <v>1.8279012345679009</v>
      </c>
      <c r="R20" s="342">
        <v>1.1893</v>
      </c>
      <c r="S20" s="341">
        <v>1.95585432098766E-2</v>
      </c>
      <c r="T20" s="343">
        <v>1.1781759300000001</v>
      </c>
      <c r="U20" s="344"/>
      <c r="V20" s="338">
        <v>1.2183276271604939</v>
      </c>
      <c r="W20" s="345">
        <v>-4.7430491049382795</v>
      </c>
      <c r="X20" s="346"/>
      <c r="Y20" s="347"/>
      <c r="Z20" s="347"/>
      <c r="AA20" s="347"/>
      <c r="AB20" s="347"/>
      <c r="AC20" s="347"/>
      <c r="AD20" s="347"/>
      <c r="AE20" s="347"/>
      <c r="AF20" s="347"/>
      <c r="AG20" s="347"/>
      <c r="AH20" s="347"/>
      <c r="AI20" s="347"/>
      <c r="AJ20" s="347"/>
      <c r="AK20" s="347"/>
      <c r="AL20" s="347"/>
      <c r="AM20" s="337"/>
      <c r="AN20" s="340">
        <v>0.30833333333333335</v>
      </c>
      <c r="AO20" s="338">
        <v>4.4608888888888885</v>
      </c>
      <c r="AP20" s="338">
        <v>1.2391358024691357</v>
      </c>
      <c r="AQ20" s="338">
        <v>1.1666666666666663</v>
      </c>
      <c r="AR20" s="338">
        <v>1.25</v>
      </c>
      <c r="AS20" s="341">
        <v>3.6558024691358018</v>
      </c>
      <c r="AT20" s="348">
        <v>1.208</v>
      </c>
      <c r="AV20" s="1735"/>
      <c r="AW20" s="1739"/>
      <c r="AX20" s="1742"/>
      <c r="AY20" s="1742"/>
      <c r="AZ20" s="1742"/>
      <c r="BA20" s="1742"/>
      <c r="BB20" s="1742"/>
      <c r="BC20" s="1745"/>
    </row>
    <row r="21" spans="1:55">
      <c r="A21" s="371"/>
      <c r="B21" s="336">
        <v>100</v>
      </c>
      <c r="C21" s="337">
        <v>4.4639333333333333</v>
      </c>
      <c r="D21" s="337">
        <v>0.13750000000000001</v>
      </c>
      <c r="E21" s="337">
        <v>4.5</v>
      </c>
      <c r="F21" s="337">
        <v>9.1013999999999999</v>
      </c>
      <c r="G21" s="338">
        <v>1.091</v>
      </c>
      <c r="H21" s="338">
        <v>1.07</v>
      </c>
      <c r="I21" s="339">
        <v>1.1674</v>
      </c>
      <c r="J21" s="340"/>
      <c r="K21" s="337"/>
      <c r="L21" s="340">
        <v>0.30833333333333335</v>
      </c>
      <c r="M21" s="338">
        <v>4.1555999999999997</v>
      </c>
      <c r="N21" s="338">
        <v>0.57716666666666672</v>
      </c>
      <c r="O21" s="338">
        <v>0.58333333333333315</v>
      </c>
      <c r="P21" s="338">
        <v>0.625</v>
      </c>
      <c r="Q21" s="341">
        <v>1.7854999999999999</v>
      </c>
      <c r="R21" s="342">
        <v>1.1856</v>
      </c>
      <c r="S21" s="341">
        <v>1.9104849999999951E-2</v>
      </c>
      <c r="T21" s="343">
        <v>1.1748838253333334</v>
      </c>
      <c r="U21" s="344"/>
      <c r="V21" s="338">
        <v>1.2153040977777778</v>
      </c>
      <c r="W21" s="345">
        <v>-4.7673552777777628</v>
      </c>
      <c r="X21" s="346"/>
      <c r="Y21" s="347"/>
      <c r="Z21" s="347"/>
      <c r="AA21" s="347"/>
      <c r="AB21" s="347"/>
      <c r="AC21" s="347"/>
      <c r="AD21" s="347"/>
      <c r="AE21" s="347"/>
      <c r="AF21" s="347"/>
      <c r="AG21" s="347"/>
      <c r="AH21" s="347"/>
      <c r="AI21" s="347"/>
      <c r="AJ21" s="347"/>
      <c r="AK21" s="347"/>
      <c r="AL21" s="347"/>
      <c r="AM21" s="337"/>
      <c r="AN21" s="340">
        <v>0.30833333333333335</v>
      </c>
      <c r="AO21" s="338">
        <v>4.1555999999999997</v>
      </c>
      <c r="AP21" s="338">
        <v>1.1543333333333334</v>
      </c>
      <c r="AQ21" s="338">
        <v>1.1666666666666663</v>
      </c>
      <c r="AR21" s="338">
        <v>1.25</v>
      </c>
      <c r="AS21" s="341">
        <v>3.5709999999999997</v>
      </c>
      <c r="AT21" s="348">
        <v>1.2038</v>
      </c>
    </row>
    <row r="22" spans="1:55">
      <c r="A22" s="373"/>
      <c r="B22" s="374">
        <v>110</v>
      </c>
      <c r="C22" s="375">
        <v>4.3795000000000002</v>
      </c>
      <c r="D22" s="375">
        <v>0.1</v>
      </c>
      <c r="E22" s="375">
        <v>4</v>
      </c>
      <c r="F22" s="375">
        <v>8.4794999999999998</v>
      </c>
      <c r="G22" s="376">
        <v>1.0848</v>
      </c>
      <c r="H22" s="376">
        <v>1.07</v>
      </c>
      <c r="I22" s="377">
        <v>1.1607000000000001</v>
      </c>
      <c r="J22" s="378"/>
      <c r="K22" s="379"/>
      <c r="L22" s="378">
        <v>0.31874999999999998</v>
      </c>
      <c r="M22" s="380">
        <v>4.060709090909091</v>
      </c>
      <c r="N22" s="380">
        <v>0.59218674242424252</v>
      </c>
      <c r="O22" s="380">
        <v>0.58333333333333315</v>
      </c>
      <c r="P22" s="380">
        <v>0.625</v>
      </c>
      <c r="Q22" s="381">
        <v>1.8005200757575757</v>
      </c>
      <c r="R22" s="382">
        <v>1.1791</v>
      </c>
      <c r="S22" s="381">
        <v>1.9265564810605929E-2</v>
      </c>
      <c r="T22" s="383">
        <v>1.1668402851515152</v>
      </c>
      <c r="U22" s="384"/>
      <c r="V22" s="380">
        <v>1.2092801653030303</v>
      </c>
      <c r="W22" s="385">
        <v>-4.8371619696969459</v>
      </c>
      <c r="X22" s="386"/>
      <c r="Y22" s="387"/>
      <c r="Z22" s="387"/>
      <c r="AA22" s="387"/>
      <c r="AB22" s="387"/>
      <c r="AC22" s="387"/>
      <c r="AD22" s="387"/>
      <c r="AE22" s="387"/>
      <c r="AF22" s="387"/>
      <c r="AG22" s="387"/>
      <c r="AH22" s="387"/>
      <c r="AI22" s="387"/>
      <c r="AJ22" s="387"/>
      <c r="AK22" s="387"/>
      <c r="AL22" s="387"/>
      <c r="AM22" s="379"/>
      <c r="AN22" s="378">
        <v>0.31874999999999998</v>
      </c>
      <c r="AO22" s="380">
        <v>4.060709090909091</v>
      </c>
      <c r="AP22" s="380">
        <v>1.184373484848485</v>
      </c>
      <c r="AQ22" s="380">
        <v>1.1666666666666663</v>
      </c>
      <c r="AR22" s="380">
        <v>1.25</v>
      </c>
      <c r="AS22" s="381">
        <v>3.6010401515151513</v>
      </c>
      <c r="AT22" s="388">
        <v>1.1975</v>
      </c>
    </row>
    <row r="23" spans="1:55">
      <c r="A23" s="373"/>
      <c r="B23" s="374">
        <v>120</v>
      </c>
      <c r="C23" s="375">
        <v>4.3158000000000003</v>
      </c>
      <c r="D23" s="375">
        <v>6.25E-2</v>
      </c>
      <c r="E23" s="375">
        <v>4</v>
      </c>
      <c r="F23" s="375">
        <v>8.3782999999999994</v>
      </c>
      <c r="G23" s="376">
        <v>1.0838000000000001</v>
      </c>
      <c r="H23" s="376">
        <v>1.07</v>
      </c>
      <c r="I23" s="377">
        <v>1.1596</v>
      </c>
      <c r="J23" s="378"/>
      <c r="K23" s="379"/>
      <c r="L23" s="378">
        <v>0.32916666666666666</v>
      </c>
      <c r="M23" s="380">
        <v>3.9866333333333337</v>
      </c>
      <c r="N23" s="380">
        <v>0.60906898148148148</v>
      </c>
      <c r="O23" s="380">
        <v>0.58333333333333315</v>
      </c>
      <c r="P23" s="380">
        <v>0.625</v>
      </c>
      <c r="Q23" s="381">
        <v>1.8174023148148146</v>
      </c>
      <c r="R23" s="382">
        <v>1.1781999999999999</v>
      </c>
      <c r="S23" s="381">
        <v>1.9446204768518438E-2</v>
      </c>
      <c r="T23" s="383">
        <v>1.1645956683333334</v>
      </c>
      <c r="U23" s="384"/>
      <c r="V23" s="380">
        <v>1.2088020248148148</v>
      </c>
      <c r="W23" s="385">
        <v>-4.9042756481481264</v>
      </c>
      <c r="X23" s="386"/>
      <c r="Y23" s="387"/>
      <c r="Z23" s="387"/>
      <c r="AA23" s="387"/>
      <c r="AB23" s="387"/>
      <c r="AC23" s="387"/>
      <c r="AD23" s="387"/>
      <c r="AE23" s="387"/>
      <c r="AF23" s="387"/>
      <c r="AG23" s="387"/>
      <c r="AH23" s="387"/>
      <c r="AI23" s="387"/>
      <c r="AJ23" s="387"/>
      <c r="AK23" s="387"/>
      <c r="AL23" s="387"/>
      <c r="AM23" s="379"/>
      <c r="AN23" s="378">
        <v>0.32916666666666666</v>
      </c>
      <c r="AO23" s="380">
        <v>3.9866333333333337</v>
      </c>
      <c r="AP23" s="380">
        <v>1.218137962962963</v>
      </c>
      <c r="AQ23" s="380">
        <v>1.1666666666666663</v>
      </c>
      <c r="AR23" s="380">
        <v>1.25</v>
      </c>
      <c r="AS23" s="381">
        <v>3.6348046296296292</v>
      </c>
      <c r="AT23" s="388">
        <v>1.1968000000000001</v>
      </c>
    </row>
    <row r="24" spans="1:55">
      <c r="A24" s="373"/>
      <c r="B24" s="374">
        <v>130</v>
      </c>
      <c r="C24" s="375">
        <v>4.1220589743589739</v>
      </c>
      <c r="D24" s="375">
        <v>6.25E-2</v>
      </c>
      <c r="E24" s="375">
        <v>4</v>
      </c>
      <c r="F24" s="375">
        <v>8.1845999999999997</v>
      </c>
      <c r="G24" s="376">
        <v>1.0818000000000001</v>
      </c>
      <c r="H24" s="376">
        <v>1.07</v>
      </c>
      <c r="I24" s="377">
        <v>1.1576</v>
      </c>
      <c r="J24" s="378"/>
      <c r="K24" s="379"/>
      <c r="L24" s="378">
        <v>0.32916666666666666</v>
      </c>
      <c r="M24" s="380">
        <v>3.7928923076923073</v>
      </c>
      <c r="N24" s="380">
        <v>0.579469658119658</v>
      </c>
      <c r="O24" s="380">
        <v>0.58333333333333315</v>
      </c>
      <c r="P24" s="380">
        <v>0.625</v>
      </c>
      <c r="Q24" s="381">
        <v>1.7878029914529912</v>
      </c>
      <c r="R24" s="382">
        <v>1.1758</v>
      </c>
      <c r="S24" s="381">
        <v>1.9129492008546967E-2</v>
      </c>
      <c r="T24" s="383">
        <v>1.1626963771794872</v>
      </c>
      <c r="U24" s="384"/>
      <c r="V24" s="380">
        <v>1.2068639652136752</v>
      </c>
      <c r="W24" s="385">
        <v>-4.9177725854700816</v>
      </c>
      <c r="X24" s="386"/>
      <c r="Y24" s="387"/>
      <c r="Z24" s="387"/>
      <c r="AA24" s="387"/>
      <c r="AB24" s="387"/>
      <c r="AC24" s="387"/>
      <c r="AD24" s="387"/>
      <c r="AE24" s="387"/>
      <c r="AF24" s="387"/>
      <c r="AG24" s="387"/>
      <c r="AH24" s="387"/>
      <c r="AI24" s="387"/>
      <c r="AJ24" s="387"/>
      <c r="AK24" s="387"/>
      <c r="AL24" s="387"/>
      <c r="AM24" s="379"/>
      <c r="AN24" s="378">
        <v>0.32916666666666666</v>
      </c>
      <c r="AO24" s="380">
        <v>3.7928923076923073</v>
      </c>
      <c r="AP24" s="380">
        <v>1.158939316239316</v>
      </c>
      <c r="AQ24" s="380">
        <v>1.1666666666666663</v>
      </c>
      <c r="AR24" s="380">
        <v>1.25</v>
      </c>
      <c r="AS24" s="381">
        <v>3.5756059829059823</v>
      </c>
      <c r="AT24" s="388">
        <v>1.1940999999999999</v>
      </c>
    </row>
    <row r="25" spans="1:55">
      <c r="A25" s="373"/>
      <c r="B25" s="374">
        <v>140</v>
      </c>
      <c r="C25" s="375">
        <v>3.9559952380952379</v>
      </c>
      <c r="D25" s="375">
        <v>6.25E-2</v>
      </c>
      <c r="E25" s="375">
        <v>4</v>
      </c>
      <c r="F25" s="375">
        <v>8.0184999999999995</v>
      </c>
      <c r="G25" s="376">
        <v>1.0802</v>
      </c>
      <c r="H25" s="376">
        <v>1.07</v>
      </c>
      <c r="I25" s="377">
        <v>1.1557999999999999</v>
      </c>
      <c r="J25" s="378"/>
      <c r="K25" s="379"/>
      <c r="L25" s="378">
        <v>0.32916666666666666</v>
      </c>
      <c r="M25" s="380">
        <v>3.6268285714285713</v>
      </c>
      <c r="N25" s="380">
        <v>0.55409880952380952</v>
      </c>
      <c r="O25" s="380">
        <v>0.58333333333333315</v>
      </c>
      <c r="P25" s="380">
        <v>0.625</v>
      </c>
      <c r="Q25" s="381">
        <v>1.7624321428571426</v>
      </c>
      <c r="R25" s="382">
        <v>1.1738</v>
      </c>
      <c r="S25" s="381">
        <v>1.8858023928571388E-2</v>
      </c>
      <c r="T25" s="383">
        <v>1.1610684133333333</v>
      </c>
      <c r="U25" s="384"/>
      <c r="V25" s="380">
        <v>1.2052027712698414</v>
      </c>
      <c r="W25" s="385">
        <v>-4.9293413888888971</v>
      </c>
      <c r="X25" s="386"/>
      <c r="Y25" s="387"/>
      <c r="Z25" s="387"/>
      <c r="AA25" s="387"/>
      <c r="AB25" s="387"/>
      <c r="AC25" s="387"/>
      <c r="AD25" s="387"/>
      <c r="AE25" s="387"/>
      <c r="AF25" s="387"/>
      <c r="AG25" s="387"/>
      <c r="AH25" s="387"/>
      <c r="AI25" s="387"/>
      <c r="AJ25" s="387"/>
      <c r="AK25" s="387"/>
      <c r="AL25" s="387"/>
      <c r="AM25" s="379"/>
      <c r="AN25" s="378">
        <v>0.32916666666666666</v>
      </c>
      <c r="AO25" s="380">
        <v>3.6268285714285713</v>
      </c>
      <c r="AP25" s="380">
        <v>1.108197619047619</v>
      </c>
      <c r="AQ25" s="380">
        <v>1.1666666666666663</v>
      </c>
      <c r="AR25" s="380">
        <v>1.25</v>
      </c>
      <c r="AS25" s="381">
        <v>3.5248642857142851</v>
      </c>
      <c r="AT25" s="388">
        <v>1.1917</v>
      </c>
    </row>
    <row r="26" spans="1:55">
      <c r="A26" s="373"/>
      <c r="B26" s="374">
        <v>150</v>
      </c>
      <c r="C26" s="375">
        <v>3.8120733333333332</v>
      </c>
      <c r="D26" s="375">
        <v>6.25E-2</v>
      </c>
      <c r="E26" s="375">
        <v>4</v>
      </c>
      <c r="F26" s="375">
        <v>7.8746</v>
      </c>
      <c r="G26" s="376">
        <v>1.0787</v>
      </c>
      <c r="H26" s="376">
        <v>1.07</v>
      </c>
      <c r="I26" s="377">
        <v>1.1543000000000001</v>
      </c>
      <c r="J26" s="378"/>
      <c r="K26" s="379"/>
      <c r="L26" s="378">
        <v>0.32916666666666666</v>
      </c>
      <c r="M26" s="380">
        <v>3.4829066666666666</v>
      </c>
      <c r="N26" s="380">
        <v>0.53211074074074072</v>
      </c>
      <c r="O26" s="380">
        <v>0.58333333333333315</v>
      </c>
      <c r="P26" s="380">
        <v>0.625</v>
      </c>
      <c r="Q26" s="381">
        <v>1.7404440740740739</v>
      </c>
      <c r="R26" s="382">
        <v>1.1719999999999999</v>
      </c>
      <c r="S26" s="381">
        <v>1.8622751592592746E-2</v>
      </c>
      <c r="T26" s="383">
        <v>1.1596575113333334</v>
      </c>
      <c r="U26" s="384"/>
      <c r="V26" s="380">
        <v>1.2037630698518518</v>
      </c>
      <c r="W26" s="385">
        <v>-4.9393676851851698</v>
      </c>
      <c r="X26" s="386"/>
      <c r="Y26" s="387"/>
      <c r="Z26" s="387"/>
      <c r="AA26" s="387"/>
      <c r="AB26" s="387"/>
      <c r="AC26" s="387"/>
      <c r="AD26" s="387"/>
      <c r="AE26" s="387"/>
      <c r="AF26" s="387"/>
      <c r="AG26" s="387"/>
      <c r="AH26" s="387"/>
      <c r="AI26" s="387"/>
      <c r="AJ26" s="387"/>
      <c r="AK26" s="387"/>
      <c r="AL26" s="387"/>
      <c r="AM26" s="379"/>
      <c r="AN26" s="378">
        <v>0.32916666666666666</v>
      </c>
      <c r="AO26" s="380">
        <v>3.4829066666666666</v>
      </c>
      <c r="AP26" s="380">
        <v>1.0642214814814814</v>
      </c>
      <c r="AQ26" s="380">
        <v>1.1666666666666663</v>
      </c>
      <c r="AR26" s="380">
        <v>1.25</v>
      </c>
      <c r="AS26" s="381">
        <v>3.4808881481481477</v>
      </c>
      <c r="AT26" s="388">
        <v>1.1897</v>
      </c>
    </row>
    <row r="27" spans="1:55">
      <c r="A27" s="373"/>
      <c r="B27" s="374">
        <v>160</v>
      </c>
      <c r="C27" s="375">
        <v>3.7933916666666665</v>
      </c>
      <c r="D27" s="375">
        <v>6.25E-2</v>
      </c>
      <c r="E27" s="375">
        <v>4</v>
      </c>
      <c r="F27" s="375">
        <v>7.8559000000000001</v>
      </c>
      <c r="G27" s="376">
        <v>1.0786</v>
      </c>
      <c r="H27" s="376">
        <v>1.07</v>
      </c>
      <c r="I27" s="377">
        <v>1.1540999999999999</v>
      </c>
      <c r="J27" s="378"/>
      <c r="K27" s="379"/>
      <c r="L27" s="378">
        <v>0.32916666666666666</v>
      </c>
      <c r="M27" s="380">
        <v>3.4642249999999999</v>
      </c>
      <c r="N27" s="380">
        <v>0.52925659722222218</v>
      </c>
      <c r="O27" s="380">
        <v>0.58333333333333315</v>
      </c>
      <c r="P27" s="380">
        <v>0.625</v>
      </c>
      <c r="Q27" s="381">
        <v>1.7375899305555553</v>
      </c>
      <c r="R27" s="382">
        <v>1.1718</v>
      </c>
      <c r="S27" s="381">
        <v>1.8592212256944407E-2</v>
      </c>
      <c r="T27" s="383">
        <v>1.16374524125</v>
      </c>
      <c r="U27" s="384"/>
      <c r="V27" s="380">
        <v>1.2036018644444444</v>
      </c>
      <c r="W27" s="385">
        <v>-4.9432365277777723</v>
      </c>
      <c r="X27" s="386"/>
      <c r="Y27" s="387"/>
      <c r="Z27" s="387"/>
      <c r="AA27" s="387"/>
      <c r="AB27" s="387"/>
      <c r="AC27" s="387"/>
      <c r="AD27" s="387"/>
      <c r="AE27" s="387"/>
      <c r="AF27" s="387"/>
      <c r="AG27" s="387"/>
      <c r="AH27" s="387"/>
      <c r="AI27" s="387"/>
      <c r="AJ27" s="387"/>
      <c r="AK27" s="387"/>
      <c r="AL27" s="387"/>
      <c r="AM27" s="379"/>
      <c r="AN27" s="378">
        <v>0.32916666666666666</v>
      </c>
      <c r="AO27" s="380">
        <v>3.4642249999999999</v>
      </c>
      <c r="AP27" s="380">
        <v>1.0585131944444444</v>
      </c>
      <c r="AQ27" s="380">
        <v>1.1666666666666663</v>
      </c>
      <c r="AR27" s="380">
        <v>1.25</v>
      </c>
      <c r="AS27" s="381">
        <v>3.4751798611111107</v>
      </c>
      <c r="AT27" s="388">
        <v>1.1895</v>
      </c>
    </row>
    <row r="28" spans="1:55">
      <c r="A28" s="373"/>
      <c r="B28" s="374">
        <v>170</v>
      </c>
      <c r="C28" s="375">
        <v>3.7057313725490193</v>
      </c>
      <c r="D28" s="375">
        <v>6.25E-2</v>
      </c>
      <c r="E28" s="375">
        <v>4</v>
      </c>
      <c r="F28" s="375">
        <v>7.7682000000000002</v>
      </c>
      <c r="G28" s="376">
        <v>1.0777000000000001</v>
      </c>
      <c r="H28" s="376">
        <v>1.07</v>
      </c>
      <c r="I28" s="377">
        <v>1.1531</v>
      </c>
      <c r="J28" s="378"/>
      <c r="K28" s="379"/>
      <c r="L28" s="378">
        <v>0.32916666666666661</v>
      </c>
      <c r="M28" s="380">
        <v>3.3765647058823527</v>
      </c>
      <c r="N28" s="380">
        <v>0.51586405228758159</v>
      </c>
      <c r="O28" s="380">
        <v>0.58333333333333315</v>
      </c>
      <c r="P28" s="380">
        <v>0.625</v>
      </c>
      <c r="Q28" s="381">
        <v>1.7241973856209147</v>
      </c>
      <c r="R28" s="382">
        <v>1.1707000000000001</v>
      </c>
      <c r="S28" s="381">
        <v>1.8448912026143516E-2</v>
      </c>
      <c r="T28" s="383">
        <v>1.1622914652941176</v>
      </c>
      <c r="U28" s="384"/>
      <c r="V28" s="380">
        <v>1.2024672518300656</v>
      </c>
      <c r="W28" s="385">
        <v>-4.9235717810457658</v>
      </c>
      <c r="X28" s="386"/>
      <c r="Y28" s="387"/>
      <c r="Z28" s="387"/>
      <c r="AA28" s="387"/>
      <c r="AB28" s="387"/>
      <c r="AC28" s="387"/>
      <c r="AD28" s="387"/>
      <c r="AE28" s="387"/>
      <c r="AF28" s="387"/>
      <c r="AG28" s="387"/>
      <c r="AH28" s="387"/>
      <c r="AI28" s="387"/>
      <c r="AJ28" s="387"/>
      <c r="AK28" s="387"/>
      <c r="AL28" s="387"/>
      <c r="AM28" s="379"/>
      <c r="AN28" s="378">
        <v>0.32916666666666661</v>
      </c>
      <c r="AO28" s="380">
        <v>3.3765647058823527</v>
      </c>
      <c r="AP28" s="380">
        <v>1.0317281045751632</v>
      </c>
      <c r="AQ28" s="380">
        <v>1.1666666666666663</v>
      </c>
      <c r="AR28" s="380">
        <v>1.25</v>
      </c>
      <c r="AS28" s="381">
        <v>3.4483947712418295</v>
      </c>
      <c r="AT28" s="388">
        <v>1.1881999999999999</v>
      </c>
    </row>
    <row r="29" spans="1:55">
      <c r="A29" s="373"/>
      <c r="B29" s="374">
        <v>180</v>
      </c>
      <c r="C29" s="375">
        <v>3.6033666666666666</v>
      </c>
      <c r="D29" s="375">
        <v>6.25E-2</v>
      </c>
      <c r="E29" s="375">
        <v>4</v>
      </c>
      <c r="F29" s="375">
        <v>7.6658999999999997</v>
      </c>
      <c r="G29" s="376">
        <v>1.0767</v>
      </c>
      <c r="H29" s="376">
        <v>1.07</v>
      </c>
      <c r="I29" s="377">
        <v>1.1519999999999999</v>
      </c>
      <c r="J29" s="378"/>
      <c r="K29" s="379"/>
      <c r="L29" s="378">
        <v>0.32916666666666666</v>
      </c>
      <c r="M29" s="380">
        <v>3.2742</v>
      </c>
      <c r="N29" s="380">
        <v>0.50022500000000003</v>
      </c>
      <c r="O29" s="380">
        <v>0.58333333333333315</v>
      </c>
      <c r="P29" s="380">
        <v>0.625</v>
      </c>
      <c r="Q29" s="381">
        <v>1.7085583333333332</v>
      </c>
      <c r="R29" s="382">
        <v>1.1694</v>
      </c>
      <c r="S29" s="381">
        <v>1.828157416666687E-2</v>
      </c>
      <c r="T29" s="383">
        <v>1.1609992200000001</v>
      </c>
      <c r="U29" s="384"/>
      <c r="V29" s="380">
        <v>1.2014587072839507</v>
      </c>
      <c r="W29" s="385">
        <v>-4.9322475617283867</v>
      </c>
      <c r="X29" s="386"/>
      <c r="Y29" s="387"/>
      <c r="Z29" s="387"/>
      <c r="AA29" s="387"/>
      <c r="AB29" s="387"/>
      <c r="AC29" s="387"/>
      <c r="AD29" s="387"/>
      <c r="AE29" s="387"/>
      <c r="AF29" s="387"/>
      <c r="AG29" s="387"/>
      <c r="AH29" s="387"/>
      <c r="AI29" s="387"/>
      <c r="AJ29" s="387"/>
      <c r="AK29" s="387"/>
      <c r="AL29" s="387"/>
      <c r="AM29" s="379"/>
      <c r="AN29" s="378">
        <v>0.32916666666666666</v>
      </c>
      <c r="AO29" s="380">
        <v>3.2742</v>
      </c>
      <c r="AP29" s="380">
        <v>1.0004500000000001</v>
      </c>
      <c r="AQ29" s="380">
        <v>1.1666666666666663</v>
      </c>
      <c r="AR29" s="380">
        <v>1.25</v>
      </c>
      <c r="AS29" s="381">
        <v>3.4171166666666664</v>
      </c>
      <c r="AT29" s="388">
        <v>1.1868000000000001</v>
      </c>
    </row>
    <row r="30" spans="1:55">
      <c r="A30" s="373"/>
      <c r="B30" s="374">
        <v>190</v>
      </c>
      <c r="C30" s="375">
        <v>3.6301307017543856</v>
      </c>
      <c r="D30" s="375">
        <v>2.5000000000000001E-2</v>
      </c>
      <c r="E30" s="375">
        <v>3.5</v>
      </c>
      <c r="F30" s="375">
        <v>7.1551</v>
      </c>
      <c r="G30" s="376">
        <v>1.0716000000000001</v>
      </c>
      <c r="H30" s="376">
        <v>1.07</v>
      </c>
      <c r="I30" s="377">
        <v>1.1466000000000001</v>
      </c>
      <c r="J30" s="378"/>
      <c r="K30" s="379"/>
      <c r="L30" s="378">
        <v>0.33958333333333335</v>
      </c>
      <c r="M30" s="380">
        <v>3.290547368421052</v>
      </c>
      <c r="N30" s="380">
        <v>0.52557353801169582</v>
      </c>
      <c r="O30" s="380">
        <v>0.58333333333333315</v>
      </c>
      <c r="P30" s="380">
        <v>0.625</v>
      </c>
      <c r="Q30" s="381">
        <v>1.733906871345029</v>
      </c>
      <c r="R30" s="382">
        <v>1.1641999999999999</v>
      </c>
      <c r="S30" s="381">
        <v>1.8552803523391725E-2</v>
      </c>
      <c r="T30" s="383">
        <v>1.1544930005263159</v>
      </c>
      <c r="U30" s="384"/>
      <c r="V30" s="380">
        <v>1.1965135368128657</v>
      </c>
      <c r="W30" s="385">
        <v>-4.9909054970760369</v>
      </c>
      <c r="X30" s="386"/>
      <c r="Y30" s="387"/>
      <c r="Z30" s="387"/>
      <c r="AA30" s="387"/>
      <c r="AB30" s="387"/>
      <c r="AC30" s="387"/>
      <c r="AD30" s="387"/>
      <c r="AE30" s="387"/>
      <c r="AF30" s="387"/>
      <c r="AG30" s="387"/>
      <c r="AH30" s="387"/>
      <c r="AI30" s="387"/>
      <c r="AJ30" s="387"/>
      <c r="AK30" s="387"/>
      <c r="AL30" s="387"/>
      <c r="AM30" s="379"/>
      <c r="AN30" s="378">
        <v>0.33958333333333335</v>
      </c>
      <c r="AO30" s="380">
        <v>3.290547368421052</v>
      </c>
      <c r="AP30" s="380">
        <v>1.0511470760233916</v>
      </c>
      <c r="AQ30" s="380">
        <v>1.1666666666666663</v>
      </c>
      <c r="AR30" s="380">
        <v>1.25</v>
      </c>
      <c r="AS30" s="381">
        <v>3.4678137426900579</v>
      </c>
      <c r="AT30" s="388">
        <v>1.1819</v>
      </c>
    </row>
    <row r="31" spans="1:55">
      <c r="A31" s="373"/>
      <c r="B31" s="374">
        <v>200</v>
      </c>
      <c r="C31" s="375">
        <v>3.5439533333333331</v>
      </c>
      <c r="D31" s="375">
        <v>2.5000000000000001E-2</v>
      </c>
      <c r="E31" s="375">
        <v>3.5</v>
      </c>
      <c r="F31" s="375">
        <v>7.069</v>
      </c>
      <c r="G31" s="376">
        <v>1.0707</v>
      </c>
      <c r="H31" s="376">
        <v>1.07</v>
      </c>
      <c r="I31" s="377">
        <v>1.1456</v>
      </c>
      <c r="J31" s="378"/>
      <c r="K31" s="379"/>
      <c r="L31" s="378">
        <v>0.33958333333333335</v>
      </c>
      <c r="M31" s="380">
        <v>3.2043699999999999</v>
      </c>
      <c r="N31" s="380">
        <v>0.51180909722222223</v>
      </c>
      <c r="O31" s="380">
        <v>0.58333333333333315</v>
      </c>
      <c r="P31" s="380">
        <v>0.625</v>
      </c>
      <c r="Q31" s="381">
        <v>1.7201424305555553</v>
      </c>
      <c r="R31" s="382">
        <v>1.1632</v>
      </c>
      <c r="S31" s="381">
        <v>1.8405524006944507E-2</v>
      </c>
      <c r="T31" s="383">
        <v>1.1573201319999999</v>
      </c>
      <c r="U31" s="384"/>
      <c r="V31" s="380">
        <v>1.1956592603888889</v>
      </c>
      <c r="W31" s="385">
        <v>-4.9976876388888813</v>
      </c>
      <c r="X31" s="386"/>
      <c r="Y31" s="387"/>
      <c r="Z31" s="387"/>
      <c r="AA31" s="387"/>
      <c r="AB31" s="387"/>
      <c r="AC31" s="387"/>
      <c r="AD31" s="387"/>
      <c r="AE31" s="387"/>
      <c r="AF31" s="387"/>
      <c r="AG31" s="387"/>
      <c r="AH31" s="387"/>
      <c r="AI31" s="387"/>
      <c r="AJ31" s="387"/>
      <c r="AK31" s="387"/>
      <c r="AL31" s="387"/>
      <c r="AM31" s="379"/>
      <c r="AN31" s="378">
        <v>0.33958333333333335</v>
      </c>
      <c r="AO31" s="380">
        <v>3.2043699999999999</v>
      </c>
      <c r="AP31" s="380">
        <v>1.0236181944444445</v>
      </c>
      <c r="AQ31" s="380">
        <v>1.1666666666666663</v>
      </c>
      <c r="AR31" s="380">
        <v>1.25</v>
      </c>
      <c r="AS31" s="381">
        <v>3.4402848611111105</v>
      </c>
      <c r="AT31" s="388">
        <v>1.1807000000000001</v>
      </c>
    </row>
    <row r="32" spans="1:55">
      <c r="A32" s="373"/>
      <c r="B32" s="374">
        <v>210</v>
      </c>
      <c r="C32" s="375">
        <v>3.4659833333333334</v>
      </c>
      <c r="D32" s="375">
        <v>2.5000000000000001E-2</v>
      </c>
      <c r="E32" s="375">
        <v>3.5</v>
      </c>
      <c r="F32" s="375">
        <v>6.9909999999999997</v>
      </c>
      <c r="G32" s="376">
        <v>1.0699000000000001</v>
      </c>
      <c r="H32" s="376">
        <v>1.07</v>
      </c>
      <c r="I32" s="377">
        <v>1.1448</v>
      </c>
      <c r="J32" s="378"/>
      <c r="K32" s="379"/>
      <c r="L32" s="378">
        <v>0.33958333333333335</v>
      </c>
      <c r="M32" s="380">
        <v>3.1264000000000003</v>
      </c>
      <c r="N32" s="380">
        <v>0.49935555555555555</v>
      </c>
      <c r="O32" s="380">
        <v>0.58333333333333315</v>
      </c>
      <c r="P32" s="380">
        <v>0.625</v>
      </c>
      <c r="Q32" s="381">
        <v>1.7076888888888888</v>
      </c>
      <c r="R32" s="382">
        <v>1.1621999999999999</v>
      </c>
      <c r="S32" s="381">
        <v>1.827227111111096E-2</v>
      </c>
      <c r="T32" s="383">
        <v>1.1562441400000001</v>
      </c>
      <c r="U32" s="384"/>
      <c r="V32" s="380">
        <v>1.1948863436243387</v>
      </c>
      <c r="W32" s="385">
        <v>-5.0038238624338538</v>
      </c>
      <c r="X32" s="386"/>
      <c r="Y32" s="387"/>
      <c r="Z32" s="387"/>
      <c r="AA32" s="387"/>
      <c r="AB32" s="387"/>
      <c r="AC32" s="387"/>
      <c r="AD32" s="387"/>
      <c r="AE32" s="387"/>
      <c r="AF32" s="387"/>
      <c r="AG32" s="387"/>
      <c r="AH32" s="387"/>
      <c r="AI32" s="387"/>
      <c r="AJ32" s="387"/>
      <c r="AK32" s="387"/>
      <c r="AL32" s="387"/>
      <c r="AM32" s="379"/>
      <c r="AN32" s="378">
        <v>0.33958333333333335</v>
      </c>
      <c r="AO32" s="380">
        <v>3.1264000000000003</v>
      </c>
      <c r="AP32" s="380">
        <v>0.99871111111111111</v>
      </c>
      <c r="AQ32" s="380">
        <v>1.1666666666666663</v>
      </c>
      <c r="AR32" s="380">
        <v>1.25</v>
      </c>
      <c r="AS32" s="381">
        <v>3.4153777777777776</v>
      </c>
      <c r="AT32" s="388">
        <v>1.1796</v>
      </c>
    </row>
    <row r="33" spans="1:46">
      <c r="A33" s="373"/>
      <c r="B33" s="374">
        <v>220</v>
      </c>
      <c r="C33" s="375">
        <v>3.3951015151515147</v>
      </c>
      <c r="D33" s="375">
        <v>2.5000000000000001E-2</v>
      </c>
      <c r="E33" s="375">
        <v>3.5</v>
      </c>
      <c r="F33" s="375">
        <v>6.9200999999999997</v>
      </c>
      <c r="G33" s="376">
        <v>1.0691999999999999</v>
      </c>
      <c r="H33" s="376">
        <v>1.07</v>
      </c>
      <c r="I33" s="377">
        <v>1.1439999999999999</v>
      </c>
      <c r="J33" s="378"/>
      <c r="K33" s="379"/>
      <c r="L33" s="378">
        <v>0.33958333333333335</v>
      </c>
      <c r="M33" s="380">
        <v>3.0555181818181811</v>
      </c>
      <c r="N33" s="380">
        <v>0.4880341540404039</v>
      </c>
      <c r="O33" s="380">
        <v>0.58333333333333315</v>
      </c>
      <c r="P33" s="380">
        <v>0.625</v>
      </c>
      <c r="Q33" s="381">
        <v>1.6963674873737371</v>
      </c>
      <c r="R33" s="382">
        <v>1.1613</v>
      </c>
      <c r="S33" s="381">
        <v>1.8151132114899049E-2</v>
      </c>
      <c r="T33" s="383">
        <v>1.1552659654545454</v>
      </c>
      <c r="U33" s="384"/>
      <c r="V33" s="380">
        <v>1.194183692020202</v>
      </c>
      <c r="W33" s="385">
        <v>-5.0094022474747479</v>
      </c>
      <c r="X33" s="386"/>
      <c r="Y33" s="387"/>
      <c r="Z33" s="387"/>
      <c r="AA33" s="387"/>
      <c r="AB33" s="387"/>
      <c r="AC33" s="387"/>
      <c r="AD33" s="387"/>
      <c r="AE33" s="387"/>
      <c r="AF33" s="387"/>
      <c r="AG33" s="387"/>
      <c r="AH33" s="387"/>
      <c r="AI33" s="387"/>
      <c r="AJ33" s="387"/>
      <c r="AK33" s="387"/>
      <c r="AL33" s="387"/>
      <c r="AM33" s="379"/>
      <c r="AN33" s="378">
        <v>0.33958333333333335</v>
      </c>
      <c r="AO33" s="380">
        <v>3.0555181818181811</v>
      </c>
      <c r="AP33" s="380">
        <v>0.9760683080808078</v>
      </c>
      <c r="AQ33" s="380">
        <v>1.1666666666666663</v>
      </c>
      <c r="AR33" s="380">
        <v>1.25</v>
      </c>
      <c r="AS33" s="381">
        <v>3.3927349747474742</v>
      </c>
      <c r="AT33" s="388">
        <v>1.1786000000000001</v>
      </c>
    </row>
    <row r="34" spans="1:46">
      <c r="A34" s="373"/>
      <c r="B34" s="374">
        <v>230</v>
      </c>
      <c r="C34" s="375">
        <v>3.3303833333333333</v>
      </c>
      <c r="D34" s="375">
        <v>2.5000000000000001E-2</v>
      </c>
      <c r="E34" s="375">
        <v>3.5</v>
      </c>
      <c r="F34" s="375">
        <v>6.8554000000000004</v>
      </c>
      <c r="G34" s="376">
        <v>1.0686</v>
      </c>
      <c r="H34" s="376">
        <v>1.07</v>
      </c>
      <c r="I34" s="377">
        <v>1.1434</v>
      </c>
      <c r="J34" s="378"/>
      <c r="K34" s="379"/>
      <c r="L34" s="378">
        <v>0.33958333333333335</v>
      </c>
      <c r="M34" s="380">
        <v>2.9908000000000001</v>
      </c>
      <c r="N34" s="380">
        <v>0.47769722222222222</v>
      </c>
      <c r="O34" s="380">
        <v>0.58333333333333315</v>
      </c>
      <c r="P34" s="380">
        <v>0.625</v>
      </c>
      <c r="Q34" s="381">
        <v>1.6860305555555555</v>
      </c>
      <c r="R34" s="382">
        <v>1.1605000000000001</v>
      </c>
      <c r="S34" s="381">
        <v>1.8040526944444357E-2</v>
      </c>
      <c r="T34" s="383">
        <v>1.1543728495652175</v>
      </c>
      <c r="U34" s="384"/>
      <c r="V34" s="380">
        <v>1.1935421405555555</v>
      </c>
      <c r="W34" s="385">
        <v>-5.0144955555555315</v>
      </c>
      <c r="X34" s="386"/>
      <c r="Y34" s="387"/>
      <c r="Z34" s="387"/>
      <c r="AA34" s="387"/>
      <c r="AB34" s="387"/>
      <c r="AC34" s="387"/>
      <c r="AD34" s="387"/>
      <c r="AE34" s="387"/>
      <c r="AF34" s="387"/>
      <c r="AG34" s="387"/>
      <c r="AH34" s="387"/>
      <c r="AI34" s="387"/>
      <c r="AJ34" s="387"/>
      <c r="AK34" s="387"/>
      <c r="AL34" s="387"/>
      <c r="AM34" s="379"/>
      <c r="AN34" s="378">
        <v>0.33958333333333335</v>
      </c>
      <c r="AO34" s="380">
        <v>2.9908000000000001</v>
      </c>
      <c r="AP34" s="380">
        <v>0.95539444444444444</v>
      </c>
      <c r="AQ34" s="380">
        <v>1.1666666666666663</v>
      </c>
      <c r="AR34" s="380">
        <v>1.25</v>
      </c>
      <c r="AS34" s="381">
        <v>3.372061111111111</v>
      </c>
      <c r="AT34" s="388">
        <v>1.1777</v>
      </c>
    </row>
    <row r="35" spans="1:46">
      <c r="A35" s="371"/>
      <c r="B35" s="336">
        <v>240</v>
      </c>
      <c r="C35" s="337">
        <v>3.2710583333333334</v>
      </c>
      <c r="D35" s="337">
        <v>2.5000000000000001E-2</v>
      </c>
      <c r="E35" s="337">
        <v>3.5</v>
      </c>
      <c r="F35" s="337">
        <v>6.7961</v>
      </c>
      <c r="G35" s="338">
        <v>1.0680000000000001</v>
      </c>
      <c r="H35" s="338">
        <v>1.07</v>
      </c>
      <c r="I35" s="339">
        <v>1.1427</v>
      </c>
      <c r="J35" s="340"/>
      <c r="K35" s="337"/>
      <c r="L35" s="340">
        <v>0.33958333333333335</v>
      </c>
      <c r="M35" s="338">
        <v>2.9314749999999998</v>
      </c>
      <c r="N35" s="338">
        <v>0.4682217013888888</v>
      </c>
      <c r="O35" s="338">
        <v>0.58333333333333315</v>
      </c>
      <c r="P35" s="338">
        <v>0.625</v>
      </c>
      <c r="Q35" s="341">
        <v>1.676555034722222</v>
      </c>
      <c r="R35" s="342">
        <v>1.1597999999999999</v>
      </c>
      <c r="S35" s="341">
        <v>1.793913887152776E-2</v>
      </c>
      <c r="T35" s="343">
        <v>1.1535541600000001</v>
      </c>
      <c r="U35" s="344"/>
      <c r="V35" s="338">
        <v>1.1929540517129631</v>
      </c>
      <c r="W35" s="345">
        <v>-5.0191644212963071</v>
      </c>
      <c r="X35" s="346"/>
      <c r="Y35" s="347"/>
      <c r="Z35" s="347"/>
      <c r="AA35" s="347"/>
      <c r="AB35" s="347"/>
      <c r="AC35" s="347"/>
      <c r="AD35" s="347"/>
      <c r="AE35" s="347"/>
      <c r="AF35" s="347"/>
      <c r="AG35" s="347"/>
      <c r="AH35" s="347"/>
      <c r="AI35" s="347"/>
      <c r="AJ35" s="347"/>
      <c r="AK35" s="347"/>
      <c r="AL35" s="347"/>
      <c r="AM35" s="337"/>
      <c r="AN35" s="340">
        <v>0.33958333333333335</v>
      </c>
      <c r="AO35" s="338">
        <v>2.9314749999999998</v>
      </c>
      <c r="AP35" s="338">
        <v>0.9364434027777776</v>
      </c>
      <c r="AQ35" s="338">
        <v>1.1666666666666663</v>
      </c>
      <c r="AR35" s="338">
        <v>1.25</v>
      </c>
      <c r="AS35" s="341">
        <v>3.353110069444444</v>
      </c>
      <c r="AT35" s="348">
        <v>1.1768000000000001</v>
      </c>
    </row>
    <row r="36" spans="1:46">
      <c r="A36" s="371"/>
      <c r="B36" s="336">
        <v>250</v>
      </c>
      <c r="C36" s="337">
        <v>3.216479333333333</v>
      </c>
      <c r="D36" s="337">
        <v>2.5000000000000001E-2</v>
      </c>
      <c r="E36" s="337">
        <v>3.5</v>
      </c>
      <c r="F36" s="337">
        <v>6.7415000000000003</v>
      </c>
      <c r="G36" s="338">
        <v>1.0673999999999999</v>
      </c>
      <c r="H36" s="338">
        <v>1.07</v>
      </c>
      <c r="I36" s="339">
        <v>1.1420999999999999</v>
      </c>
      <c r="J36" s="340"/>
      <c r="K36" s="337"/>
      <c r="L36" s="340">
        <v>0.33958333333333335</v>
      </c>
      <c r="M36" s="338">
        <v>2.8768959999999995</v>
      </c>
      <c r="N36" s="338">
        <v>0.45950422222222209</v>
      </c>
      <c r="O36" s="338">
        <v>0.58333333333333315</v>
      </c>
      <c r="P36" s="338">
        <v>0.625</v>
      </c>
      <c r="Q36" s="341">
        <v>1.6678375555555554</v>
      </c>
      <c r="R36" s="342">
        <v>1.1591</v>
      </c>
      <c r="S36" s="341">
        <v>1.7845861844444366E-2</v>
      </c>
      <c r="T36" s="343">
        <v>1.1528009656000002</v>
      </c>
      <c r="U36" s="344"/>
      <c r="V36" s="338">
        <v>1.1924130099777779</v>
      </c>
      <c r="W36" s="345">
        <v>-5.0234597777777834</v>
      </c>
      <c r="X36" s="346"/>
      <c r="Y36" s="347"/>
      <c r="Z36" s="347"/>
      <c r="AA36" s="347"/>
      <c r="AB36" s="347"/>
      <c r="AC36" s="347"/>
      <c r="AD36" s="347"/>
      <c r="AE36" s="347"/>
      <c r="AF36" s="347"/>
      <c r="AG36" s="347"/>
      <c r="AH36" s="347"/>
      <c r="AI36" s="347"/>
      <c r="AJ36" s="347"/>
      <c r="AK36" s="347"/>
      <c r="AL36" s="347"/>
      <c r="AM36" s="337"/>
      <c r="AN36" s="340">
        <v>0.33958333333333335</v>
      </c>
      <c r="AO36" s="338">
        <v>2.8768959999999995</v>
      </c>
      <c r="AP36" s="338">
        <v>0.91900844444444418</v>
      </c>
      <c r="AQ36" s="338">
        <v>1.1666666666666663</v>
      </c>
      <c r="AR36" s="338">
        <v>1.25</v>
      </c>
      <c r="AS36" s="341">
        <v>3.3356751111111107</v>
      </c>
      <c r="AT36" s="348">
        <v>1.1759999999999999</v>
      </c>
    </row>
    <row r="37" spans="1:46">
      <c r="A37" s="373"/>
      <c r="B37" s="374">
        <v>260</v>
      </c>
      <c r="C37" s="375">
        <v>3.1660987179487181</v>
      </c>
      <c r="D37" s="375">
        <v>2.5000000000000001E-2</v>
      </c>
      <c r="E37" s="375">
        <v>3.5</v>
      </c>
      <c r="F37" s="375">
        <v>6.6910999999999996</v>
      </c>
      <c r="G37" s="376">
        <v>1.0669</v>
      </c>
      <c r="H37" s="376">
        <v>1.07</v>
      </c>
      <c r="I37" s="377">
        <v>1.1415999999999999</v>
      </c>
      <c r="J37" s="378"/>
      <c r="K37" s="379"/>
      <c r="L37" s="378">
        <v>0.33958333333333335</v>
      </c>
      <c r="M37" s="380">
        <v>2.8265153846153845</v>
      </c>
      <c r="N37" s="380">
        <v>0.45145731837606834</v>
      </c>
      <c r="O37" s="380">
        <v>0.58333333333333315</v>
      </c>
      <c r="P37" s="380">
        <v>0.625</v>
      </c>
      <c r="Q37" s="381">
        <v>1.6597906517094014</v>
      </c>
      <c r="R37" s="382">
        <v>1.1585000000000001</v>
      </c>
      <c r="S37" s="381">
        <v>1.7759759973290601E-2</v>
      </c>
      <c r="T37" s="383">
        <v>1.1521057092307694</v>
      </c>
      <c r="U37" s="384"/>
      <c r="V37" s="380">
        <v>1.191913586837607</v>
      </c>
      <c r="W37" s="385">
        <v>-5.0274247222222401</v>
      </c>
      <c r="X37" s="386"/>
      <c r="Y37" s="387"/>
      <c r="Z37" s="387"/>
      <c r="AA37" s="387"/>
      <c r="AB37" s="387"/>
      <c r="AC37" s="387"/>
      <c r="AD37" s="387"/>
      <c r="AE37" s="387"/>
      <c r="AF37" s="387"/>
      <c r="AG37" s="387"/>
      <c r="AH37" s="387"/>
      <c r="AI37" s="387"/>
      <c r="AJ37" s="387"/>
      <c r="AK37" s="387"/>
      <c r="AL37" s="387"/>
      <c r="AM37" s="379"/>
      <c r="AN37" s="378">
        <v>0.33958333333333335</v>
      </c>
      <c r="AO37" s="380">
        <v>2.8265153846153845</v>
      </c>
      <c r="AP37" s="380">
        <v>0.90291463675213668</v>
      </c>
      <c r="AQ37" s="380">
        <v>1.1666666666666663</v>
      </c>
      <c r="AR37" s="380">
        <v>1.25</v>
      </c>
      <c r="AS37" s="381">
        <v>3.3195813034188029</v>
      </c>
      <c r="AT37" s="388">
        <v>1.1753</v>
      </c>
    </row>
    <row r="38" spans="1:46">
      <c r="A38" s="373"/>
      <c r="B38" s="374">
        <v>270</v>
      </c>
      <c r="C38" s="375">
        <v>3.1194499999999996</v>
      </c>
      <c r="D38" s="375">
        <v>2.5000000000000001E-2</v>
      </c>
      <c r="E38" s="375">
        <v>3.5</v>
      </c>
      <c r="F38" s="375">
        <v>6.6444999999999999</v>
      </c>
      <c r="G38" s="376">
        <v>1.0664</v>
      </c>
      <c r="H38" s="376">
        <v>1.07</v>
      </c>
      <c r="I38" s="377">
        <v>1.1411</v>
      </c>
      <c r="J38" s="378"/>
      <c r="K38" s="379"/>
      <c r="L38" s="378">
        <v>0.33958333333333335</v>
      </c>
      <c r="M38" s="380">
        <v>2.779866666666666</v>
      </c>
      <c r="N38" s="380">
        <v>0.44400648148148142</v>
      </c>
      <c r="O38" s="380">
        <v>0.58333333333333315</v>
      </c>
      <c r="P38" s="380">
        <v>0.625</v>
      </c>
      <c r="Q38" s="381">
        <v>1.6523398148148145</v>
      </c>
      <c r="R38" s="382">
        <v>1.1578999999999999</v>
      </c>
      <c r="S38" s="381">
        <v>1.7680036018518308E-2</v>
      </c>
      <c r="T38" s="383">
        <v>1.1514619533333335</v>
      </c>
      <c r="U38" s="384"/>
      <c r="V38" s="380">
        <v>1.1914511580041152</v>
      </c>
      <c r="W38" s="385">
        <v>-5.0310959670781585</v>
      </c>
      <c r="X38" s="386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79"/>
      <c r="AN38" s="378">
        <v>0.33958333333333335</v>
      </c>
      <c r="AO38" s="380">
        <v>2.779866666666666</v>
      </c>
      <c r="AP38" s="380">
        <v>0.88801296296296284</v>
      </c>
      <c r="AQ38" s="380">
        <v>1.1666666666666663</v>
      </c>
      <c r="AR38" s="380">
        <v>1.25</v>
      </c>
      <c r="AS38" s="381">
        <v>3.304679629629629</v>
      </c>
      <c r="AT38" s="388">
        <v>1.1747000000000001</v>
      </c>
    </row>
    <row r="39" spans="1:46">
      <c r="A39" s="373"/>
      <c r="B39" s="374">
        <v>280</v>
      </c>
      <c r="C39" s="375">
        <v>3.0761333333333329</v>
      </c>
      <c r="D39" s="375">
        <v>2.5000000000000001E-2</v>
      </c>
      <c r="E39" s="375">
        <v>3.5</v>
      </c>
      <c r="F39" s="375">
        <v>6.6010999999999997</v>
      </c>
      <c r="G39" s="376">
        <v>1.0660000000000001</v>
      </c>
      <c r="H39" s="376">
        <v>1.07</v>
      </c>
      <c r="I39" s="377">
        <v>1.1406000000000001</v>
      </c>
      <c r="J39" s="378"/>
      <c r="K39" s="379"/>
      <c r="L39" s="378">
        <v>0.33958333333333335</v>
      </c>
      <c r="M39" s="380">
        <v>2.7365499999999994</v>
      </c>
      <c r="N39" s="380">
        <v>0.43708784722222216</v>
      </c>
      <c r="O39" s="380">
        <v>0.58333333333333315</v>
      </c>
      <c r="P39" s="380">
        <v>0.625</v>
      </c>
      <c r="Q39" s="381">
        <v>1.6454211805555552</v>
      </c>
      <c r="R39" s="382">
        <v>1.1573</v>
      </c>
      <c r="S39" s="381">
        <v>1.7606006631944338E-2</v>
      </c>
      <c r="T39" s="383">
        <v>1.1508641800000001</v>
      </c>
      <c r="U39" s="384"/>
      <c r="V39" s="380">
        <v>1.1910217598015873</v>
      </c>
      <c r="W39" s="385">
        <v>-5.0345049801587383</v>
      </c>
      <c r="X39" s="386"/>
      <c r="Y39" s="387"/>
      <c r="Z39" s="387"/>
      <c r="AA39" s="387"/>
      <c r="AB39" s="387"/>
      <c r="AC39" s="387"/>
      <c r="AD39" s="387"/>
      <c r="AE39" s="387"/>
      <c r="AF39" s="387"/>
      <c r="AG39" s="387"/>
      <c r="AH39" s="387"/>
      <c r="AI39" s="387"/>
      <c r="AJ39" s="387"/>
      <c r="AK39" s="387"/>
      <c r="AL39" s="387"/>
      <c r="AM39" s="379"/>
      <c r="AN39" s="378">
        <v>0.33958333333333335</v>
      </c>
      <c r="AO39" s="380">
        <v>2.7365499999999994</v>
      </c>
      <c r="AP39" s="380">
        <v>0.87417569444444432</v>
      </c>
      <c r="AQ39" s="380">
        <v>1.1666666666666663</v>
      </c>
      <c r="AR39" s="380">
        <v>1.25</v>
      </c>
      <c r="AS39" s="381">
        <v>3.2908423611111104</v>
      </c>
      <c r="AT39" s="388">
        <v>1.1740999999999999</v>
      </c>
    </row>
    <row r="40" spans="1:46">
      <c r="A40" s="373"/>
      <c r="B40" s="374">
        <v>290</v>
      </c>
      <c r="C40" s="375">
        <v>3.0358040229885059</v>
      </c>
      <c r="D40" s="375">
        <v>2.5000000000000001E-2</v>
      </c>
      <c r="E40" s="375">
        <v>3.5</v>
      </c>
      <c r="F40" s="375">
        <v>6.5608000000000004</v>
      </c>
      <c r="G40" s="376">
        <v>1.0656000000000001</v>
      </c>
      <c r="H40" s="376">
        <v>1.07</v>
      </c>
      <c r="I40" s="377">
        <v>1.1402000000000001</v>
      </c>
      <c r="J40" s="378"/>
      <c r="K40" s="379"/>
      <c r="L40" s="378">
        <v>0.33958333333333335</v>
      </c>
      <c r="M40" s="380">
        <v>2.6962206896551724</v>
      </c>
      <c r="N40" s="380">
        <v>0.43064636015325669</v>
      </c>
      <c r="O40" s="380">
        <v>0.58333333333333315</v>
      </c>
      <c r="P40" s="380">
        <v>0.625</v>
      </c>
      <c r="Q40" s="381">
        <v>1.6389796934865899</v>
      </c>
      <c r="R40" s="382">
        <v>1.1568000000000001</v>
      </c>
      <c r="S40" s="381">
        <v>1.7537082720306296E-2</v>
      </c>
      <c r="T40" s="383">
        <v>1.1503076324137933</v>
      </c>
      <c r="U40" s="384"/>
      <c r="V40" s="380">
        <v>1.1906219752681995</v>
      </c>
      <c r="W40" s="385">
        <v>-5.0376788888888857</v>
      </c>
      <c r="X40" s="386"/>
      <c r="Y40" s="387"/>
      <c r="Z40" s="387"/>
      <c r="AA40" s="387"/>
      <c r="AB40" s="387"/>
      <c r="AC40" s="387"/>
      <c r="AD40" s="387"/>
      <c r="AE40" s="387"/>
      <c r="AF40" s="387"/>
      <c r="AG40" s="387"/>
      <c r="AH40" s="387"/>
      <c r="AI40" s="387"/>
      <c r="AJ40" s="387"/>
      <c r="AK40" s="387"/>
      <c r="AL40" s="387"/>
      <c r="AM40" s="379"/>
      <c r="AN40" s="378">
        <v>0.33958333333333335</v>
      </c>
      <c r="AO40" s="380">
        <v>2.6962206896551724</v>
      </c>
      <c r="AP40" s="380">
        <v>0.86129272030651338</v>
      </c>
      <c r="AQ40" s="380">
        <v>1.1666666666666663</v>
      </c>
      <c r="AR40" s="380">
        <v>1.25</v>
      </c>
      <c r="AS40" s="381">
        <v>3.2779593869731798</v>
      </c>
      <c r="AT40" s="388">
        <v>1.1735</v>
      </c>
    </row>
    <row r="41" spans="1:46">
      <c r="A41" s="373"/>
      <c r="B41" s="374">
        <v>300</v>
      </c>
      <c r="C41" s="375">
        <v>2.9981633333333333</v>
      </c>
      <c r="D41" s="375">
        <v>2.5000000000000001E-2</v>
      </c>
      <c r="E41" s="375">
        <v>3.5</v>
      </c>
      <c r="F41" s="375">
        <v>6.5232000000000001</v>
      </c>
      <c r="G41" s="376">
        <v>1.0651999999999999</v>
      </c>
      <c r="H41" s="376">
        <v>1.07</v>
      </c>
      <c r="I41" s="377">
        <v>1.1397999999999999</v>
      </c>
      <c r="J41" s="378"/>
      <c r="K41" s="379"/>
      <c r="L41" s="378">
        <v>0.33958333333333335</v>
      </c>
      <c r="M41" s="380">
        <v>2.6585799999999997</v>
      </c>
      <c r="N41" s="380">
        <v>0.42463430555555554</v>
      </c>
      <c r="O41" s="380">
        <v>0.58333333333333315</v>
      </c>
      <c r="P41" s="380">
        <v>0.625</v>
      </c>
      <c r="Q41" s="381">
        <v>1.6329676388888887</v>
      </c>
      <c r="R41" s="382">
        <v>1.1564000000000001</v>
      </c>
      <c r="S41" s="381">
        <v>1.7472753736111235E-2</v>
      </c>
      <c r="T41" s="383">
        <v>1.149788188</v>
      </c>
      <c r="U41" s="384"/>
      <c r="V41" s="380">
        <v>1.190248843037037</v>
      </c>
      <c r="W41" s="385">
        <v>-5.0406412037036885</v>
      </c>
      <c r="X41" s="386"/>
      <c r="Y41" s="387"/>
      <c r="Z41" s="387"/>
      <c r="AA41" s="387"/>
      <c r="AB41" s="387"/>
      <c r="AC41" s="387"/>
      <c r="AD41" s="387"/>
      <c r="AE41" s="387"/>
      <c r="AF41" s="387"/>
      <c r="AG41" s="387"/>
      <c r="AH41" s="387"/>
      <c r="AI41" s="387"/>
      <c r="AJ41" s="387"/>
      <c r="AK41" s="387"/>
      <c r="AL41" s="387"/>
      <c r="AM41" s="379"/>
      <c r="AN41" s="378">
        <v>0.33958333333333335</v>
      </c>
      <c r="AO41" s="380">
        <v>2.6585799999999997</v>
      </c>
      <c r="AP41" s="380">
        <v>0.84926861111111107</v>
      </c>
      <c r="AQ41" s="380">
        <v>1.1666666666666663</v>
      </c>
      <c r="AR41" s="380">
        <v>1.25</v>
      </c>
      <c r="AS41" s="381">
        <v>3.2659352777777775</v>
      </c>
      <c r="AT41" s="388">
        <v>1.173</v>
      </c>
    </row>
    <row r="42" spans="1:46">
      <c r="A42" s="373"/>
      <c r="B42" s="374">
        <v>350</v>
      </c>
      <c r="C42" s="375">
        <v>2.8895657142857143</v>
      </c>
      <c r="D42" s="375">
        <v>-1.2500000000000001E-2</v>
      </c>
      <c r="E42" s="375">
        <v>3.5</v>
      </c>
      <c r="F42" s="375">
        <v>6.3771000000000004</v>
      </c>
      <c r="G42" s="376">
        <v>1.0638000000000001</v>
      </c>
      <c r="H42" s="376">
        <v>1.07</v>
      </c>
      <c r="I42" s="377">
        <v>1.1382000000000001</v>
      </c>
      <c r="J42" s="378"/>
      <c r="K42" s="379"/>
      <c r="L42" s="378">
        <v>0.35</v>
      </c>
      <c r="M42" s="380">
        <v>2.5395657142857142</v>
      </c>
      <c r="N42" s="380">
        <v>0.42326095238095235</v>
      </c>
      <c r="O42" s="380">
        <v>0.58333333333333315</v>
      </c>
      <c r="P42" s="380">
        <v>0.625</v>
      </c>
      <c r="Q42" s="381">
        <v>1.6315942857142856</v>
      </c>
      <c r="R42" s="382">
        <v>1.1548</v>
      </c>
      <c r="S42" s="381">
        <v>1.7458058857142911E-2</v>
      </c>
      <c r="T42" s="383">
        <v>1.1486940569523809</v>
      </c>
      <c r="U42" s="384"/>
      <c r="V42" s="380">
        <v>1.1892366626666668</v>
      </c>
      <c r="W42" s="385">
        <v>-5.1024351190476436</v>
      </c>
      <c r="X42" s="386"/>
      <c r="Y42" s="387"/>
      <c r="Z42" s="387"/>
      <c r="AA42" s="387"/>
      <c r="AB42" s="387"/>
      <c r="AC42" s="387"/>
      <c r="AD42" s="387"/>
      <c r="AE42" s="387"/>
      <c r="AF42" s="387"/>
      <c r="AG42" s="387"/>
      <c r="AH42" s="387"/>
      <c r="AI42" s="387"/>
      <c r="AJ42" s="387"/>
      <c r="AK42" s="387"/>
      <c r="AL42" s="387"/>
      <c r="AM42" s="379"/>
      <c r="AN42" s="378">
        <v>0.35</v>
      </c>
      <c r="AO42" s="380">
        <v>2.5395657142857142</v>
      </c>
      <c r="AP42" s="380">
        <v>0.8465219047619047</v>
      </c>
      <c r="AQ42" s="380">
        <v>1.1666666666666663</v>
      </c>
      <c r="AR42" s="380">
        <v>1.25</v>
      </c>
      <c r="AS42" s="381">
        <v>3.2631885714285711</v>
      </c>
      <c r="AT42" s="388">
        <v>1.1714</v>
      </c>
    </row>
    <row r="43" spans="1:46">
      <c r="A43" s="373"/>
      <c r="B43" s="374">
        <v>400</v>
      </c>
      <c r="C43" s="375">
        <v>2.6731199999999999</v>
      </c>
      <c r="D43" s="375">
        <v>-1.2500000000000001E-2</v>
      </c>
      <c r="E43" s="375">
        <v>3.5</v>
      </c>
      <c r="F43" s="375">
        <v>6.1605999999999996</v>
      </c>
      <c r="G43" s="376">
        <v>1.0616000000000001</v>
      </c>
      <c r="H43" s="376">
        <v>1.07</v>
      </c>
      <c r="I43" s="377">
        <v>1.1358999999999999</v>
      </c>
      <c r="J43" s="378"/>
      <c r="K43" s="379"/>
      <c r="L43" s="378">
        <v>0.35</v>
      </c>
      <c r="M43" s="380">
        <v>2.3231199999999999</v>
      </c>
      <c r="N43" s="380">
        <v>0.38718666666666662</v>
      </c>
      <c r="O43" s="380">
        <v>0.58333333333333315</v>
      </c>
      <c r="P43" s="380">
        <v>0.625</v>
      </c>
      <c r="Q43" s="381">
        <v>1.5955199999999998</v>
      </c>
      <c r="R43" s="382">
        <v>1.1520999999999999</v>
      </c>
      <c r="S43" s="381">
        <v>1.7072064000000164E-2</v>
      </c>
      <c r="T43" s="383">
        <v>1.1467399006666668</v>
      </c>
      <c r="U43" s="384"/>
      <c r="V43" s="380">
        <v>1.1870093506666666</v>
      </c>
      <c r="W43" s="385">
        <v>-5.1113008333333321</v>
      </c>
      <c r="X43" s="386"/>
      <c r="Y43" s="387"/>
      <c r="Z43" s="387"/>
      <c r="AA43" s="387"/>
      <c r="AB43" s="387"/>
      <c r="AC43" s="387"/>
      <c r="AD43" s="387"/>
      <c r="AE43" s="387"/>
      <c r="AF43" s="387"/>
      <c r="AG43" s="387"/>
      <c r="AH43" s="387"/>
      <c r="AI43" s="387"/>
      <c r="AJ43" s="387"/>
      <c r="AK43" s="387"/>
      <c r="AL43" s="387"/>
      <c r="AM43" s="379"/>
      <c r="AN43" s="378">
        <v>0.35</v>
      </c>
      <c r="AO43" s="380">
        <v>2.3231199999999999</v>
      </c>
      <c r="AP43" s="380">
        <v>0.77437333333333325</v>
      </c>
      <c r="AQ43" s="380">
        <v>1.1666666666666663</v>
      </c>
      <c r="AR43" s="380">
        <v>1.25</v>
      </c>
      <c r="AS43" s="381">
        <v>3.1910399999999997</v>
      </c>
      <c r="AT43" s="388">
        <v>1.1682999999999999</v>
      </c>
    </row>
    <row r="44" spans="1:46">
      <c r="A44" s="373"/>
      <c r="B44" s="374">
        <v>450</v>
      </c>
      <c r="C44" s="375">
        <v>2.5047733333333331</v>
      </c>
      <c r="D44" s="375">
        <v>-1.2500000000000001E-2</v>
      </c>
      <c r="E44" s="375">
        <v>3.5</v>
      </c>
      <c r="F44" s="375">
        <v>5.9923000000000002</v>
      </c>
      <c r="G44" s="376">
        <v>1.0599000000000001</v>
      </c>
      <c r="H44" s="376">
        <v>1.07</v>
      </c>
      <c r="I44" s="377">
        <v>1.1341000000000001</v>
      </c>
      <c r="J44" s="378"/>
      <c r="K44" s="379"/>
      <c r="L44" s="378">
        <v>0.35</v>
      </c>
      <c r="M44" s="380">
        <v>2.154773333333333</v>
      </c>
      <c r="N44" s="380">
        <v>0.35912888888888883</v>
      </c>
      <c r="O44" s="380">
        <v>0.58333333333333315</v>
      </c>
      <c r="P44" s="380">
        <v>0.625</v>
      </c>
      <c r="Q44" s="381">
        <v>1.5674622222222219</v>
      </c>
      <c r="R44" s="382">
        <v>1.1499999999999999</v>
      </c>
      <c r="S44" s="381">
        <v>1.6771845777777683E-2</v>
      </c>
      <c r="T44" s="383">
        <v>1.1452200013333336</v>
      </c>
      <c r="U44" s="384"/>
      <c r="V44" s="380">
        <v>1.185276996888889</v>
      </c>
      <c r="W44" s="385">
        <v>-5.1181963888888848</v>
      </c>
      <c r="X44" s="386"/>
      <c r="Y44" s="387"/>
      <c r="Z44" s="387"/>
      <c r="AA44" s="387"/>
      <c r="AB44" s="387"/>
      <c r="AC44" s="387"/>
      <c r="AD44" s="387"/>
      <c r="AE44" s="387"/>
      <c r="AF44" s="387"/>
      <c r="AG44" s="387"/>
      <c r="AH44" s="387"/>
      <c r="AI44" s="387"/>
      <c r="AJ44" s="387"/>
      <c r="AK44" s="387"/>
      <c r="AL44" s="387"/>
      <c r="AM44" s="379"/>
      <c r="AN44" s="378">
        <v>0.35</v>
      </c>
      <c r="AO44" s="380">
        <v>2.154773333333333</v>
      </c>
      <c r="AP44" s="380">
        <v>0.71825777777777766</v>
      </c>
      <c r="AQ44" s="380">
        <v>1.1666666666666663</v>
      </c>
      <c r="AR44" s="380">
        <v>1.25</v>
      </c>
      <c r="AS44" s="381">
        <v>3.1349244444444437</v>
      </c>
      <c r="AT44" s="388">
        <v>1.1658999999999999</v>
      </c>
    </row>
    <row r="45" spans="1:46">
      <c r="A45" s="373"/>
      <c r="B45" s="374">
        <v>500</v>
      </c>
      <c r="C45" s="375">
        <v>2.3700959999999998</v>
      </c>
      <c r="D45" s="375">
        <v>-1.2500000000000001E-2</v>
      </c>
      <c r="E45" s="375">
        <v>3.5</v>
      </c>
      <c r="F45" s="375">
        <v>5.8575999999999997</v>
      </c>
      <c r="G45" s="376">
        <v>1.0586</v>
      </c>
      <c r="H45" s="376">
        <v>1.07</v>
      </c>
      <c r="I45" s="377">
        <v>1.1327</v>
      </c>
      <c r="J45" s="378"/>
      <c r="K45" s="379"/>
      <c r="L45" s="378">
        <v>0.35</v>
      </c>
      <c r="M45" s="380">
        <v>2.0200959999999997</v>
      </c>
      <c r="N45" s="380">
        <v>0.33668266666666663</v>
      </c>
      <c r="O45" s="380">
        <v>0.58333333333333315</v>
      </c>
      <c r="P45" s="380">
        <v>0.625</v>
      </c>
      <c r="Q45" s="381">
        <v>1.5450159999999997</v>
      </c>
      <c r="R45" s="382">
        <v>1.1483000000000001</v>
      </c>
      <c r="S45" s="381">
        <v>1.6531671200000098E-2</v>
      </c>
      <c r="T45" s="383">
        <v>1.1440040818666668</v>
      </c>
      <c r="U45" s="384"/>
      <c r="V45" s="380">
        <v>1.1838911138666666</v>
      </c>
      <c r="W45" s="385">
        <v>-5.1237128333333271</v>
      </c>
      <c r="X45" s="386"/>
      <c r="Y45" s="387"/>
      <c r="Z45" s="387"/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387"/>
      <c r="AL45" s="387"/>
      <c r="AM45" s="379"/>
      <c r="AN45" s="378">
        <v>0.35</v>
      </c>
      <c r="AO45" s="380">
        <v>2.0200959999999997</v>
      </c>
      <c r="AP45" s="380">
        <v>0.67336533333333326</v>
      </c>
      <c r="AQ45" s="380">
        <v>1.1666666666666663</v>
      </c>
      <c r="AR45" s="380">
        <v>1.25</v>
      </c>
      <c r="AS45" s="381">
        <v>3.0900319999999994</v>
      </c>
      <c r="AT45" s="388">
        <v>1.1639999999999999</v>
      </c>
    </row>
    <row r="46" spans="1:46">
      <c r="A46" s="391" t="s">
        <v>372</v>
      </c>
      <c r="B46" s="374">
        <v>500</v>
      </c>
      <c r="C46" s="376">
        <v>2.3700959999999998</v>
      </c>
      <c r="D46" s="376">
        <v>-1.2500000000000001E-2</v>
      </c>
      <c r="E46" s="376">
        <v>3.5</v>
      </c>
      <c r="F46" s="375">
        <v>5.8575999999999997</v>
      </c>
      <c r="G46" s="376">
        <v>1.0586</v>
      </c>
      <c r="H46" s="376">
        <v>1.07</v>
      </c>
      <c r="I46" s="377">
        <v>1.1327</v>
      </c>
      <c r="J46" s="378"/>
      <c r="K46" s="379"/>
      <c r="L46" s="378">
        <v>0.35</v>
      </c>
      <c r="M46" s="380">
        <v>2.0200959999999997</v>
      </c>
      <c r="N46" s="380">
        <v>0.33668266666666663</v>
      </c>
      <c r="O46" s="380">
        <v>0.58333333333333315</v>
      </c>
      <c r="P46" s="380">
        <v>0.625</v>
      </c>
      <c r="Q46" s="381">
        <v>1.5450159999999997</v>
      </c>
      <c r="R46" s="382">
        <v>1.1483000000000001</v>
      </c>
      <c r="S46" s="381">
        <v>1.6531671200000098E-2</v>
      </c>
      <c r="T46" s="383">
        <v>1.1440040818666668</v>
      </c>
      <c r="U46" s="384"/>
      <c r="V46" s="380">
        <v>1.1838911138666666</v>
      </c>
      <c r="W46" s="385">
        <v>-5.1237128333333271</v>
      </c>
      <c r="X46" s="386"/>
      <c r="Y46" s="387"/>
      <c r="Z46" s="387"/>
      <c r="AA46" s="387"/>
      <c r="AB46" s="387"/>
      <c r="AC46" s="387"/>
      <c r="AD46" s="387"/>
      <c r="AE46" s="387"/>
      <c r="AF46" s="387"/>
      <c r="AG46" s="387"/>
      <c r="AH46" s="387"/>
      <c r="AI46" s="387"/>
      <c r="AJ46" s="387"/>
      <c r="AK46" s="387"/>
      <c r="AL46" s="387"/>
      <c r="AM46" s="379"/>
      <c r="AN46" s="378">
        <v>0.35</v>
      </c>
      <c r="AO46" s="380">
        <v>2.0200959999999997</v>
      </c>
      <c r="AP46" s="380">
        <v>0.67336533333333326</v>
      </c>
      <c r="AQ46" s="380">
        <v>1.1666666666666663</v>
      </c>
      <c r="AR46" s="380">
        <v>1.25</v>
      </c>
      <c r="AS46" s="381">
        <v>3.0900319999999994</v>
      </c>
      <c r="AT46" s="388">
        <v>1.1639999999999999</v>
      </c>
    </row>
    <row r="47" spans="1:46" ht="21.75" thickBot="1">
      <c r="A47" s="392"/>
      <c r="B47" s="393"/>
      <c r="C47" s="394"/>
      <c r="D47" s="394"/>
      <c r="E47" s="394"/>
      <c r="F47" s="394"/>
      <c r="G47" s="394"/>
      <c r="H47" s="394"/>
      <c r="I47" s="395"/>
      <c r="J47" s="396"/>
      <c r="K47" s="397"/>
      <c r="L47" s="397"/>
      <c r="M47" s="397"/>
      <c r="N47" s="397"/>
      <c r="O47" s="397"/>
      <c r="P47" s="397"/>
      <c r="Q47" s="397"/>
      <c r="R47" s="398"/>
      <c r="S47" s="397"/>
      <c r="T47" s="399"/>
      <c r="U47" s="400"/>
      <c r="V47" s="397"/>
      <c r="W47" s="401"/>
      <c r="X47" s="402"/>
      <c r="Y47" s="400"/>
      <c r="Z47" s="400"/>
      <c r="AA47" s="400"/>
      <c r="AB47" s="400"/>
      <c r="AC47" s="400"/>
      <c r="AD47" s="400"/>
      <c r="AE47" s="400"/>
      <c r="AF47" s="400"/>
      <c r="AG47" s="400"/>
      <c r="AH47" s="400"/>
      <c r="AI47" s="400"/>
      <c r="AJ47" s="400"/>
      <c r="AK47" s="400"/>
      <c r="AL47" s="400"/>
      <c r="AM47" s="397"/>
      <c r="AN47" s="397"/>
      <c r="AO47" s="397"/>
      <c r="AP47" s="397"/>
      <c r="AQ47" s="397"/>
      <c r="AR47" s="397"/>
      <c r="AS47" s="397"/>
      <c r="AT47" s="403"/>
    </row>
    <row r="48" spans="1:46">
      <c r="C48" s="404" t="s">
        <v>373</v>
      </c>
      <c r="D48" s="405" t="s">
        <v>374</v>
      </c>
      <c r="E48" s="406"/>
      <c r="F48" s="406"/>
      <c r="G48" s="406"/>
      <c r="H48" s="406"/>
      <c r="I48" s="407"/>
      <c r="J48" s="408"/>
      <c r="K48" s="409"/>
      <c r="L48" s="409"/>
      <c r="M48" s="409"/>
      <c r="N48" s="409"/>
      <c r="O48" s="409"/>
      <c r="P48" s="409"/>
      <c r="Q48" s="409"/>
      <c r="R48" s="409"/>
      <c r="S48" s="410"/>
      <c r="T48" s="411"/>
      <c r="U48" s="412"/>
      <c r="V48" s="413"/>
      <c r="W48" s="414"/>
      <c r="X48" s="412"/>
      <c r="Y48" s="412"/>
      <c r="Z48" s="412"/>
      <c r="AA48" s="412"/>
      <c r="AB48" s="412"/>
      <c r="AC48" s="412"/>
      <c r="AD48" s="412"/>
      <c r="AE48" s="412"/>
      <c r="AF48" s="412"/>
      <c r="AG48" s="412"/>
      <c r="AH48" s="412"/>
      <c r="AI48" s="412"/>
      <c r="AJ48" s="412"/>
      <c r="AK48" s="412"/>
      <c r="AL48" s="412"/>
      <c r="AM48" s="410"/>
      <c r="AN48" s="410"/>
      <c r="AO48" s="410"/>
      <c r="AP48" s="410"/>
      <c r="AQ48" s="410"/>
      <c r="AR48" s="410"/>
      <c r="AS48" s="410"/>
      <c r="AT48" s="410"/>
    </row>
    <row r="49" spans="1:46">
      <c r="A49" s="415" t="s">
        <v>375</v>
      </c>
      <c r="B49" s="416"/>
      <c r="D49" s="405" t="s">
        <v>1789</v>
      </c>
      <c r="E49" s="406"/>
      <c r="F49" s="406"/>
      <c r="G49" s="406"/>
      <c r="H49" s="406"/>
      <c r="I49" s="407"/>
      <c r="J49" s="408"/>
      <c r="K49" s="417"/>
      <c r="L49" s="417"/>
      <c r="M49" s="417"/>
      <c r="N49" s="417"/>
      <c r="O49" s="417"/>
      <c r="P49" s="417"/>
      <c r="Q49" s="417"/>
      <c r="R49" s="417"/>
      <c r="S49" s="412"/>
      <c r="T49" s="411"/>
      <c r="U49" s="412"/>
      <c r="V49" s="413"/>
      <c r="W49" s="414"/>
      <c r="X49" s="412"/>
      <c r="Y49" s="412"/>
      <c r="Z49" s="412"/>
      <c r="AA49" s="412"/>
      <c r="AB49" s="412"/>
      <c r="AC49" s="412"/>
      <c r="AD49" s="412"/>
      <c r="AE49" s="412"/>
      <c r="AF49" s="412"/>
      <c r="AG49" s="412"/>
      <c r="AH49" s="412"/>
      <c r="AI49" s="412"/>
      <c r="AJ49" s="412"/>
      <c r="AK49" s="412"/>
      <c r="AL49" s="412"/>
      <c r="AM49" s="412"/>
      <c r="AN49" s="412"/>
      <c r="AO49" s="412"/>
      <c r="AP49" s="412"/>
      <c r="AQ49" s="412"/>
      <c r="AR49" s="412"/>
      <c r="AS49" s="412"/>
      <c r="AT49" s="412"/>
    </row>
    <row r="50" spans="1:46">
      <c r="V50" s="418"/>
      <c r="W50" s="419"/>
    </row>
    <row r="51" spans="1:46">
      <c r="V51" s="418"/>
      <c r="W51" s="419"/>
    </row>
  </sheetData>
  <mergeCells count="20">
    <mergeCell ref="A8:B8"/>
    <mergeCell ref="C8:F8"/>
    <mergeCell ref="I8:J9"/>
    <mergeCell ref="T8:U9"/>
    <mergeCell ref="A10:B10"/>
    <mergeCell ref="I10:J10"/>
    <mergeCell ref="T10:U10"/>
    <mergeCell ref="A1:AT1"/>
    <mergeCell ref="A2:AT2"/>
    <mergeCell ref="A7:B7"/>
    <mergeCell ref="C7:F7"/>
    <mergeCell ref="I7:J7"/>
    <mergeCell ref="T7:U7"/>
    <mergeCell ref="AX9:AX10"/>
    <mergeCell ref="AV17:AV20"/>
    <mergeCell ref="AW17:AW20"/>
    <mergeCell ref="AX17:AX20"/>
    <mergeCell ref="AY17:BC18"/>
    <mergeCell ref="AY19:BC20"/>
    <mergeCell ref="AV9:AV10"/>
  </mergeCells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C000"/>
  </sheetPr>
  <dimension ref="A1:AB151"/>
  <sheetViews>
    <sheetView workbookViewId="0">
      <selection activeCell="B10" sqref="B10:K49"/>
    </sheetView>
  </sheetViews>
  <sheetFormatPr defaultColWidth="9" defaultRowHeight="21"/>
  <cols>
    <col min="1" max="1" width="5.125" style="284" customWidth="1"/>
    <col min="2" max="2" width="7.875" style="284" customWidth="1"/>
    <col min="3" max="3" width="11" style="284" customWidth="1"/>
    <col min="4" max="5" width="10" style="284" customWidth="1"/>
    <col min="6" max="6" width="10.125" style="284" customWidth="1"/>
    <col min="7" max="7" width="10.375" style="284" customWidth="1"/>
    <col min="8" max="8" width="11" style="284" customWidth="1"/>
    <col min="9" max="9" width="1.625" style="284" customWidth="1"/>
    <col min="10" max="10" width="8.125" style="284" bestFit="1" customWidth="1"/>
    <col min="11" max="11" width="4.125" style="284" customWidth="1"/>
    <col min="12" max="12" width="4.25" style="510" customWidth="1"/>
    <col min="13" max="13" width="6.375" style="510" hidden="1" customWidth="1"/>
    <col min="14" max="14" width="6.125" style="510" hidden="1" customWidth="1"/>
    <col min="15" max="15" width="4.25" style="510" hidden="1" customWidth="1"/>
    <col min="16" max="16" width="0" style="284" hidden="1" customWidth="1"/>
    <col min="17" max="17" width="5.375" style="284" hidden="1" customWidth="1"/>
    <col min="18" max="18" width="12.25" style="284" bestFit="1" customWidth="1"/>
    <col min="19" max="19" width="12.625" style="284" customWidth="1"/>
    <col min="20" max="20" width="6.625" style="284" bestFit="1" customWidth="1"/>
    <col min="21" max="21" width="10.625" style="284" bestFit="1" customWidth="1"/>
    <col min="22" max="22" width="7.625" style="284" customWidth="1"/>
    <col min="23" max="16384" width="9" style="284"/>
  </cols>
  <sheetData>
    <row r="1" spans="1:28" ht="24.75" customHeight="1">
      <c r="A1" s="1768"/>
      <c r="B1" s="1768"/>
      <c r="C1" s="1768"/>
      <c r="D1" s="1768"/>
      <c r="E1" s="1768"/>
      <c r="F1" s="1768"/>
      <c r="G1" s="1768"/>
      <c r="H1" s="1768"/>
      <c r="I1" s="1768"/>
      <c r="J1" s="1768"/>
      <c r="K1" s="1768"/>
      <c r="L1" s="1768"/>
      <c r="M1" s="420"/>
      <c r="N1" s="420"/>
      <c r="O1" s="420"/>
    </row>
    <row r="2" spans="1:28" ht="44.25" customHeight="1">
      <c r="A2" s="1769" t="s">
        <v>1790</v>
      </c>
      <c r="B2" s="1769"/>
      <c r="C2" s="1769"/>
      <c r="D2" s="1769"/>
      <c r="E2" s="1769"/>
      <c r="F2" s="1769"/>
      <c r="G2" s="1769"/>
      <c r="H2" s="1769"/>
      <c r="I2" s="1769"/>
      <c r="J2" s="1769"/>
      <c r="K2" s="1769"/>
      <c r="L2" s="1769"/>
      <c r="M2" s="421"/>
      <c r="N2" s="421"/>
      <c r="O2" s="421"/>
    </row>
    <row r="3" spans="1:28" s="296" customFormat="1" ht="23.25" customHeight="1">
      <c r="A3" s="422" t="s">
        <v>343</v>
      </c>
      <c r="C3" s="423"/>
      <c r="D3" s="424">
        <v>15</v>
      </c>
      <c r="E3" s="425" t="s">
        <v>344</v>
      </c>
      <c r="G3" s="422" t="s">
        <v>345</v>
      </c>
      <c r="H3" s="423"/>
      <c r="I3" s="423"/>
      <c r="J3" s="426">
        <v>7</v>
      </c>
      <c r="K3" s="427" t="s">
        <v>346</v>
      </c>
      <c r="L3" s="428"/>
      <c r="M3" s="429"/>
      <c r="N3" s="429"/>
      <c r="O3" s="429"/>
    </row>
    <row r="4" spans="1:28" s="296" customFormat="1" ht="21" customHeight="1">
      <c r="A4" s="422" t="s">
        <v>347</v>
      </c>
      <c r="C4" s="423"/>
      <c r="D4" s="424">
        <v>0</v>
      </c>
      <c r="E4" s="425" t="s">
        <v>344</v>
      </c>
      <c r="G4" s="427" t="s">
        <v>348</v>
      </c>
      <c r="H4" s="423"/>
      <c r="I4" s="423"/>
      <c r="J4" s="430">
        <v>7</v>
      </c>
      <c r="K4" s="422" t="s">
        <v>344</v>
      </c>
      <c r="L4" s="431"/>
      <c r="M4" s="431"/>
      <c r="N4" s="431"/>
      <c r="O4" s="431"/>
    </row>
    <row r="5" spans="1:28" ht="10.5" customHeight="1" thickBot="1">
      <c r="A5" s="297"/>
      <c r="B5" s="297"/>
      <c r="C5" s="297"/>
      <c r="D5" s="297"/>
      <c r="E5" s="297"/>
      <c r="F5" s="297"/>
      <c r="G5" s="297"/>
      <c r="H5" s="297"/>
      <c r="I5" s="432"/>
      <c r="J5" s="297"/>
      <c r="K5" s="297"/>
      <c r="L5" s="432"/>
      <c r="M5" s="432"/>
      <c r="N5" s="432"/>
      <c r="O5" s="432"/>
    </row>
    <row r="6" spans="1:28" ht="21" customHeight="1">
      <c r="A6" s="1770" t="s">
        <v>349</v>
      </c>
      <c r="B6" s="1771"/>
      <c r="C6" s="1772" t="s">
        <v>350</v>
      </c>
      <c r="D6" s="1773"/>
      <c r="E6" s="1773"/>
      <c r="F6" s="1771"/>
      <c r="G6" s="433" t="s">
        <v>26</v>
      </c>
      <c r="H6" s="433" t="s">
        <v>351</v>
      </c>
      <c r="I6" s="434"/>
      <c r="J6" s="1773"/>
      <c r="K6" s="1774"/>
      <c r="L6" s="435"/>
      <c r="M6" s="436"/>
      <c r="N6" s="436"/>
      <c r="O6" s="435"/>
      <c r="P6" s="1766"/>
      <c r="Q6" s="1767"/>
    </row>
    <row r="7" spans="1:28" ht="18" customHeight="1">
      <c r="A7" s="1776" t="s">
        <v>352</v>
      </c>
      <c r="B7" s="1777"/>
      <c r="C7" s="1778" t="s">
        <v>344</v>
      </c>
      <c r="D7" s="1779"/>
      <c r="E7" s="1779"/>
      <c r="F7" s="1780"/>
      <c r="G7" s="437" t="s">
        <v>353</v>
      </c>
      <c r="H7" s="438"/>
      <c r="I7" s="1781" t="s">
        <v>23</v>
      </c>
      <c r="J7" s="1782"/>
      <c r="K7" s="1783"/>
      <c r="L7" s="439"/>
      <c r="M7" s="440" t="s">
        <v>23</v>
      </c>
      <c r="N7" s="440" t="s">
        <v>355</v>
      </c>
      <c r="O7" s="439"/>
      <c r="P7" s="1784" t="s">
        <v>354</v>
      </c>
      <c r="Q7" s="1785"/>
    </row>
    <row r="8" spans="1:28" ht="18" customHeight="1">
      <c r="A8" s="441"/>
      <c r="B8" s="442"/>
      <c r="C8" s="443" t="s">
        <v>356</v>
      </c>
      <c r="D8" s="443" t="s">
        <v>356</v>
      </c>
      <c r="E8" s="443" t="s">
        <v>356</v>
      </c>
      <c r="F8" s="443" t="s">
        <v>26</v>
      </c>
      <c r="G8" s="21" t="s">
        <v>357</v>
      </c>
      <c r="H8" s="437" t="s">
        <v>376</v>
      </c>
      <c r="I8" s="1781"/>
      <c r="J8" s="1782"/>
      <c r="K8" s="1783"/>
      <c r="L8" s="444"/>
      <c r="M8" s="445" t="s">
        <v>365</v>
      </c>
      <c r="N8" s="445" t="s">
        <v>344</v>
      </c>
      <c r="O8" s="444"/>
      <c r="P8" s="1786"/>
      <c r="Q8" s="1787"/>
      <c r="R8" s="1746" t="s">
        <v>1275</v>
      </c>
      <c r="S8" s="324"/>
      <c r="T8" s="1734" t="s">
        <v>238</v>
      </c>
      <c r="AA8" s="353"/>
      <c r="AB8" s="354"/>
    </row>
    <row r="9" spans="1:28" ht="21" customHeight="1" thickBot="1">
      <c r="A9" s="1788" t="s">
        <v>366</v>
      </c>
      <c r="B9" s="1789"/>
      <c r="C9" s="446" t="s">
        <v>367</v>
      </c>
      <c r="D9" s="446" t="s">
        <v>368</v>
      </c>
      <c r="E9" s="446" t="s">
        <v>369</v>
      </c>
      <c r="F9" s="446" t="s">
        <v>370</v>
      </c>
      <c r="G9" s="446"/>
      <c r="H9" s="447"/>
      <c r="I9" s="448"/>
      <c r="J9" s="1790"/>
      <c r="K9" s="1791"/>
      <c r="L9" s="435"/>
      <c r="M9" s="449"/>
      <c r="N9" s="449"/>
      <c r="O9" s="435"/>
      <c r="P9" s="1792"/>
      <c r="Q9" s="1793"/>
      <c r="R9" s="1747"/>
      <c r="S9" s="333">
        <f>ปร.4_1!M171+ปร.4_2!M89</f>
        <v>518779.71</v>
      </c>
      <c r="T9" s="1735"/>
      <c r="AA9" s="353"/>
      <c r="AB9" s="353"/>
    </row>
    <row r="10" spans="1:28" s="352" customFormat="1" ht="23.25" customHeight="1">
      <c r="A10" s="450" t="s">
        <v>377</v>
      </c>
      <c r="B10" s="451">
        <v>5</v>
      </c>
      <c r="C10" s="452">
        <v>10.2393</v>
      </c>
      <c r="D10" s="452">
        <v>0.66249999999999998</v>
      </c>
      <c r="E10" s="452">
        <v>5.5</v>
      </c>
      <c r="F10" s="453">
        <v>16.401800000000001</v>
      </c>
      <c r="G10" s="454">
        <v>1.1639999999999999</v>
      </c>
      <c r="H10" s="455">
        <v>1.07</v>
      </c>
      <c r="I10" s="456"/>
      <c r="J10" s="457">
        <v>1.2455000000000001</v>
      </c>
      <c r="K10" s="458"/>
      <c r="L10" s="459"/>
      <c r="M10" s="460">
        <v>1.2708261600000001</v>
      </c>
      <c r="N10" s="461">
        <v>-2.4145441666666656</v>
      </c>
      <c r="O10" s="462"/>
      <c r="P10" s="463">
        <v>1.2274435450000001</v>
      </c>
      <c r="Q10" s="464"/>
      <c r="R10" s="349" t="s">
        <v>1278</v>
      </c>
      <c r="S10" s="350">
        <f>ROUNDDOWN(S9/1000000,2)</f>
        <v>0.51</v>
      </c>
      <c r="T10" s="351" t="s">
        <v>366</v>
      </c>
      <c r="X10" s="284"/>
      <c r="Y10" s="284"/>
      <c r="Z10" s="284"/>
      <c r="AA10" s="465"/>
      <c r="AB10" s="372"/>
    </row>
    <row r="11" spans="1:28" ht="18" customHeight="1">
      <c r="A11" s="466"/>
      <c r="B11" s="467">
        <v>10</v>
      </c>
      <c r="C11" s="468">
        <v>7.9533500000000004</v>
      </c>
      <c r="D11" s="468">
        <v>0.55000000000000004</v>
      </c>
      <c r="E11" s="468">
        <v>5.5</v>
      </c>
      <c r="F11" s="469">
        <v>14.003399999999999</v>
      </c>
      <c r="G11" s="470">
        <v>1.1399999999999999</v>
      </c>
      <c r="H11" s="471">
        <v>1.07</v>
      </c>
      <c r="I11" s="472"/>
      <c r="J11" s="473">
        <v>1.2198</v>
      </c>
      <c r="K11" s="474"/>
      <c r="L11" s="418"/>
      <c r="M11" s="475">
        <v>1.2507401200000001</v>
      </c>
      <c r="N11" s="476">
        <v>-2.9923441666666717</v>
      </c>
      <c r="O11" s="418"/>
      <c r="P11" s="477">
        <v>1.2096578712500001</v>
      </c>
      <c r="Q11" s="478"/>
      <c r="R11" s="349" t="s">
        <v>1279</v>
      </c>
      <c r="S11" s="369">
        <f>IF(S10&lt;=B10,0,IF(AND(B10&lt;S10,S10&lt;=B11),B10,IF(AND(B11&lt;S10,S10&lt;=B12),B11,IF(AND(B12&lt;S10,S10&lt;=B13),B12,IF(AND(B13&lt;S10,S10&lt;=B14),B13,IF(AND(B14&lt;S10,S10&lt;=B15),B14,IF(AND(B15&lt;S10,S10&lt;=B16),B15,IF(AND(B16&lt;S10,S10&lt;=B17),B16,IF(AND(B17&lt;S10,S10&lt;=B18),B17,IF(AND(B18&lt;S10,S10&lt;=B19),B18,"A"))))))))))</f>
        <v>0</v>
      </c>
      <c r="T11" s="351" t="s">
        <v>366</v>
      </c>
      <c r="U11" s="349" t="s">
        <v>1276</v>
      </c>
      <c r="V11" s="370">
        <f>IF(S11=0,0,ROUNDDOWN(VLOOKUP(S11,B10:K19,9),4))</f>
        <v>0</v>
      </c>
    </row>
    <row r="12" spans="1:28" ht="18" customHeight="1">
      <c r="A12" s="466"/>
      <c r="B12" s="467">
        <v>15</v>
      </c>
      <c r="C12" s="468">
        <v>7.8041999999999998</v>
      </c>
      <c r="D12" s="468">
        <v>0.4375</v>
      </c>
      <c r="E12" s="468">
        <v>5.5</v>
      </c>
      <c r="F12" s="469">
        <v>13.7417</v>
      </c>
      <c r="G12" s="470">
        <v>1.1374</v>
      </c>
      <c r="H12" s="471">
        <v>1.07</v>
      </c>
      <c r="I12" s="472"/>
      <c r="J12" s="473">
        <v>1.2170000000000001</v>
      </c>
      <c r="K12" s="479"/>
      <c r="L12" s="418"/>
      <c r="M12" s="475">
        <v>1.2481410900000001</v>
      </c>
      <c r="N12" s="476">
        <v>-3.0324691666666848</v>
      </c>
      <c r="O12" s="418"/>
      <c r="P12" s="477">
        <v>1.2056749300000003</v>
      </c>
      <c r="Q12" s="478"/>
      <c r="R12" s="349" t="s">
        <v>1280</v>
      </c>
      <c r="S12" s="369">
        <f>IF(S10&lt;=B10,B10,IF(AND(B10&lt;S10,S10&lt;=B11),B11,IF(AND(B11&lt;S10,S10&lt;=B12),B12,IF(AND(B12&lt;S10,S10&lt;=B13),B13,IF(AND(B13&lt;S10,S10&lt;=B14),B14,IF(AND(B14&lt;S10,S10&lt;=B15),B15,IF(AND(B15&lt;S10,S10&lt;=B16),B16,IF(AND(B16&lt;S10,S10&lt;=B17),B17,IF(AND(B17&lt;S10,S10&lt;=B18),B18,IF(AND(B18&lt;S10,S10&lt;=B19),B19,"B"))))))))))</f>
        <v>5</v>
      </c>
      <c r="T12" s="351" t="s">
        <v>366</v>
      </c>
      <c r="U12" s="349" t="s">
        <v>1277</v>
      </c>
      <c r="V12" s="370">
        <f>IF(S12=0,0,ROUNDDOWN(VLOOKUP(S12,B10:K19,9),4))</f>
        <v>1.2455000000000001</v>
      </c>
    </row>
    <row r="13" spans="1:28" ht="18" customHeight="1">
      <c r="A13" s="466"/>
      <c r="B13" s="467">
        <v>20</v>
      </c>
      <c r="C13" s="468">
        <v>7.5434999999999999</v>
      </c>
      <c r="D13" s="468">
        <v>0.32500000000000001</v>
      </c>
      <c r="E13" s="468">
        <v>5.5</v>
      </c>
      <c r="F13" s="469">
        <v>13.368499999999999</v>
      </c>
      <c r="G13" s="470">
        <v>1.1336999999999999</v>
      </c>
      <c r="H13" s="471">
        <v>1.07</v>
      </c>
      <c r="I13" s="472"/>
      <c r="J13" s="473">
        <v>1.2130000000000001</v>
      </c>
      <c r="K13" s="479"/>
      <c r="L13" s="418"/>
      <c r="M13" s="475">
        <v>1.2465754125000001</v>
      </c>
      <c r="N13" s="476">
        <v>-3.2952879166666671</v>
      </c>
      <c r="O13" s="418"/>
      <c r="P13" s="477">
        <v>1.1916836100000001</v>
      </c>
      <c r="Q13" s="478"/>
      <c r="R13" s="351"/>
      <c r="S13" s="351"/>
      <c r="T13" s="351"/>
    </row>
    <row r="14" spans="1:28" ht="18" customHeight="1">
      <c r="A14" s="466"/>
      <c r="B14" s="467">
        <v>25</v>
      </c>
      <c r="C14" s="468">
        <v>6.3526499999999997</v>
      </c>
      <c r="D14" s="468">
        <v>0.32500000000000001</v>
      </c>
      <c r="E14" s="468">
        <v>5.5</v>
      </c>
      <c r="F14" s="469">
        <v>12.1777</v>
      </c>
      <c r="G14" s="470">
        <v>1.1217999999999999</v>
      </c>
      <c r="H14" s="471">
        <v>1.07</v>
      </c>
      <c r="I14" s="472"/>
      <c r="J14" s="473">
        <v>1.2002999999999999</v>
      </c>
      <c r="K14" s="474"/>
      <c r="L14" s="418"/>
      <c r="M14" s="475">
        <v>1.235819505</v>
      </c>
      <c r="N14" s="476">
        <v>-3.4939066666666685</v>
      </c>
      <c r="O14" s="418"/>
      <c r="P14" s="477">
        <v>1.1928445600000002</v>
      </c>
      <c r="Q14" s="478"/>
      <c r="R14" s="284" t="s">
        <v>1282</v>
      </c>
      <c r="U14" s="390">
        <f>IF(S10&lt;B10,J10,ROUNDDOWN(V11+((V11-V12)*(S9-(S11*1000000))/((S11-S12)*1000000)),4))</f>
        <v>1.2455000000000001</v>
      </c>
    </row>
    <row r="15" spans="1:28" ht="18" customHeight="1">
      <c r="A15" s="466"/>
      <c r="B15" s="467">
        <v>30</v>
      </c>
      <c r="C15" s="468">
        <v>6.4889000000000001</v>
      </c>
      <c r="D15" s="468">
        <v>0.21249999999999999</v>
      </c>
      <c r="E15" s="468">
        <v>5</v>
      </c>
      <c r="F15" s="469">
        <v>11.7014</v>
      </c>
      <c r="G15" s="470">
        <v>1.117</v>
      </c>
      <c r="H15" s="471">
        <v>1.07</v>
      </c>
      <c r="I15" s="472"/>
      <c r="J15" s="473">
        <v>1.1952</v>
      </c>
      <c r="K15" s="474"/>
      <c r="L15" s="418"/>
      <c r="M15" s="475">
        <v>1.2322483800000001</v>
      </c>
      <c r="N15" s="476">
        <v>-3.6664441666666825</v>
      </c>
      <c r="O15" s="418"/>
      <c r="P15" s="477">
        <v>1.18892836</v>
      </c>
      <c r="Q15" s="478"/>
    </row>
    <row r="16" spans="1:28" ht="18" customHeight="1">
      <c r="A16" s="466"/>
      <c r="B16" s="467">
        <v>35</v>
      </c>
      <c r="C16" s="468">
        <v>6.0806595238095236</v>
      </c>
      <c r="D16" s="468">
        <v>0.17499999999999999</v>
      </c>
      <c r="E16" s="468">
        <v>5</v>
      </c>
      <c r="F16" s="469">
        <v>11.255699999999999</v>
      </c>
      <c r="G16" s="470">
        <v>1.1126</v>
      </c>
      <c r="H16" s="471">
        <v>1.07</v>
      </c>
      <c r="I16" s="472"/>
      <c r="J16" s="473">
        <v>1.1903999999999999</v>
      </c>
      <c r="K16" s="474"/>
      <c r="L16" s="418"/>
      <c r="M16" s="475">
        <v>1.2286521354761906</v>
      </c>
      <c r="N16" s="476">
        <v>-3.7904495238095137</v>
      </c>
      <c r="O16" s="418"/>
      <c r="P16" s="477">
        <v>1.19063501</v>
      </c>
      <c r="Q16" s="478"/>
      <c r="R16" s="1734" t="s">
        <v>1281</v>
      </c>
      <c r="S16" s="1737" t="str">
        <f>FIXED(V11,4)</f>
        <v>0.0000</v>
      </c>
      <c r="T16" s="1740" t="s">
        <v>1129</v>
      </c>
      <c r="U16" s="1740" t="str">
        <f>"( "&amp;FIXED(V11,4)&amp;" - "&amp;FIXED(V12,4)&amp;" ) x ( "&amp;FIXED(S9,2)&amp;" - "&amp;FIXED(S11*1000000,2)&amp;" )"</f>
        <v>( 0.0000 - 1.2455 ) x ( 518,779.71 - 0.00 )</v>
      </c>
      <c r="V16" s="1740"/>
      <c r="W16" s="1740"/>
      <c r="X16" s="1740"/>
      <c r="Y16" s="1743"/>
    </row>
    <row r="17" spans="1:25">
      <c r="A17" s="466"/>
      <c r="B17" s="467">
        <v>40</v>
      </c>
      <c r="C17" s="468">
        <v>5.5419416666666672</v>
      </c>
      <c r="D17" s="468">
        <v>0.17499999999999999</v>
      </c>
      <c r="E17" s="468">
        <v>5</v>
      </c>
      <c r="F17" s="469">
        <v>10.716900000000001</v>
      </c>
      <c r="G17" s="470">
        <v>1.1072</v>
      </c>
      <c r="H17" s="471">
        <v>1.07</v>
      </c>
      <c r="I17" s="472"/>
      <c r="J17" s="473">
        <v>1.1847000000000001</v>
      </c>
      <c r="K17" s="474"/>
      <c r="L17" s="418"/>
      <c r="M17" s="475">
        <v>1.2236774570833335</v>
      </c>
      <c r="N17" s="476">
        <v>-3.8694097916666781</v>
      </c>
      <c r="O17" s="418"/>
      <c r="P17" s="477">
        <v>1.1853882650000003</v>
      </c>
      <c r="Q17" s="478"/>
      <c r="R17" s="1736"/>
      <c r="S17" s="1738"/>
      <c r="T17" s="1741"/>
      <c r="U17" s="1741"/>
      <c r="V17" s="1741"/>
      <c r="W17" s="1741"/>
      <c r="X17" s="1741"/>
      <c r="Y17" s="1744"/>
    </row>
    <row r="18" spans="1:25">
      <c r="A18" s="480"/>
      <c r="B18" s="481">
        <v>45</v>
      </c>
      <c r="C18" s="482">
        <v>5.1229388888888892</v>
      </c>
      <c r="D18" s="482">
        <v>0.17499999999999999</v>
      </c>
      <c r="E18" s="482">
        <v>4.5</v>
      </c>
      <c r="F18" s="483">
        <v>9.7979000000000003</v>
      </c>
      <c r="G18" s="484">
        <v>1.0980000000000001</v>
      </c>
      <c r="H18" s="485">
        <v>1.07</v>
      </c>
      <c r="I18" s="486"/>
      <c r="J18" s="487">
        <v>1.1748000000000001</v>
      </c>
      <c r="K18" s="474"/>
      <c r="L18" s="418"/>
      <c r="M18" s="475">
        <v>1.214458262777778</v>
      </c>
      <c r="N18" s="476">
        <v>-3.9308233333333664</v>
      </c>
      <c r="O18" s="418"/>
      <c r="P18" s="477">
        <v>1.1759574633333334</v>
      </c>
      <c r="Q18" s="478"/>
      <c r="R18" s="1736"/>
      <c r="S18" s="1738"/>
      <c r="T18" s="1741"/>
      <c r="U18" s="1741" t="str">
        <f>FIXED(S11*1000000,2)&amp;" - "&amp;FIXED(S12*1000000,2)</f>
        <v>0.00 - 5,000,000.00</v>
      </c>
      <c r="V18" s="1741"/>
      <c r="W18" s="1741"/>
      <c r="X18" s="1741"/>
      <c r="Y18" s="1744"/>
    </row>
    <row r="19" spans="1:25">
      <c r="A19" s="480"/>
      <c r="B19" s="481">
        <v>50</v>
      </c>
      <c r="C19" s="482">
        <v>4.7877366666666665</v>
      </c>
      <c r="D19" s="482">
        <v>0.17499999999999999</v>
      </c>
      <c r="E19" s="482">
        <v>4.5</v>
      </c>
      <c r="F19" s="483">
        <v>9.4626999999999999</v>
      </c>
      <c r="G19" s="484">
        <v>1.0946</v>
      </c>
      <c r="H19" s="485">
        <v>1.07</v>
      </c>
      <c r="I19" s="486"/>
      <c r="J19" s="487">
        <v>1.1713</v>
      </c>
      <c r="K19" s="474"/>
      <c r="L19" s="418"/>
      <c r="M19" s="475">
        <v>1.2113629073333334</v>
      </c>
      <c r="N19" s="476">
        <v>-3.9799541666666549</v>
      </c>
      <c r="O19" s="418"/>
      <c r="P19" s="477">
        <v>1.1726928219999999</v>
      </c>
      <c r="Q19" s="478"/>
      <c r="R19" s="1735"/>
      <c r="S19" s="1739"/>
      <c r="T19" s="1742"/>
      <c r="U19" s="1742"/>
      <c r="V19" s="1742"/>
      <c r="W19" s="1742"/>
      <c r="X19" s="1742"/>
      <c r="Y19" s="1745"/>
    </row>
    <row r="20" spans="1:25">
      <c r="A20" s="480"/>
      <c r="B20" s="481">
        <v>55</v>
      </c>
      <c r="C20" s="482">
        <v>4.6136621212121209</v>
      </c>
      <c r="D20" s="482">
        <v>0.17499999999999999</v>
      </c>
      <c r="E20" s="482">
        <v>4.5</v>
      </c>
      <c r="F20" s="483">
        <v>9.2887000000000004</v>
      </c>
      <c r="G20" s="484">
        <v>1.0929</v>
      </c>
      <c r="H20" s="485">
        <v>1.07</v>
      </c>
      <c r="I20" s="486"/>
      <c r="J20" s="487">
        <v>1.1694</v>
      </c>
      <c r="K20" s="474"/>
      <c r="L20" s="418"/>
      <c r="M20" s="475">
        <v>1.2093439843181819</v>
      </c>
      <c r="N20" s="476">
        <v>-3.9643216287878813</v>
      </c>
      <c r="O20" s="418"/>
      <c r="P20" s="477">
        <v>1.180539882215909</v>
      </c>
      <c r="Q20" s="478"/>
    </row>
    <row r="21" spans="1:25">
      <c r="A21" s="480"/>
      <c r="B21" s="481">
        <v>60</v>
      </c>
      <c r="C21" s="482">
        <v>4.4543499999999998</v>
      </c>
      <c r="D21" s="482">
        <v>0.17499999999999999</v>
      </c>
      <c r="E21" s="482">
        <v>4.5</v>
      </c>
      <c r="F21" s="483">
        <v>9.1294000000000004</v>
      </c>
      <c r="G21" s="484">
        <v>1.0912999999999999</v>
      </c>
      <c r="H21" s="485">
        <v>1.07</v>
      </c>
      <c r="I21" s="486"/>
      <c r="J21" s="487">
        <v>1.1677</v>
      </c>
      <c r="K21" s="474"/>
      <c r="L21" s="418"/>
      <c r="M21" s="475">
        <v>1.2080208529861114</v>
      </c>
      <c r="N21" s="476">
        <v>-4.0024724652777843</v>
      </c>
      <c r="O21" s="418"/>
      <c r="P21" s="477">
        <v>1.1772449631250002</v>
      </c>
      <c r="Q21" s="478"/>
    </row>
    <row r="22" spans="1:25">
      <c r="A22" s="480"/>
      <c r="B22" s="481">
        <v>65</v>
      </c>
      <c r="C22" s="482">
        <v>4.6721961538461541</v>
      </c>
      <c r="D22" s="482">
        <v>0.1</v>
      </c>
      <c r="E22" s="482">
        <v>4</v>
      </c>
      <c r="F22" s="483">
        <v>8.7721999999999998</v>
      </c>
      <c r="G22" s="484">
        <v>1.0876999999999999</v>
      </c>
      <c r="H22" s="485">
        <v>1.07</v>
      </c>
      <c r="I22" s="486"/>
      <c r="J22" s="487">
        <v>1.1638999999999999</v>
      </c>
      <c r="K22" s="474"/>
      <c r="L22" s="418"/>
      <c r="M22" s="475">
        <v>1.204944634423077</v>
      </c>
      <c r="N22" s="476">
        <v>-4.0903802243589915</v>
      </c>
      <c r="O22" s="418"/>
      <c r="P22" s="477">
        <v>1.1691069546634618</v>
      </c>
      <c r="Q22" s="478"/>
    </row>
    <row r="23" spans="1:25">
      <c r="A23" s="480"/>
      <c r="B23" s="481">
        <v>70</v>
      </c>
      <c r="C23" s="482">
        <v>4.5389499999999998</v>
      </c>
      <c r="D23" s="482">
        <v>0.1</v>
      </c>
      <c r="E23" s="482">
        <v>4</v>
      </c>
      <c r="F23" s="483">
        <v>8.6389999999999993</v>
      </c>
      <c r="G23" s="484">
        <v>1.0864</v>
      </c>
      <c r="H23" s="485">
        <v>1.07</v>
      </c>
      <c r="I23" s="486"/>
      <c r="J23" s="487">
        <v>1.1624000000000001</v>
      </c>
      <c r="K23" s="474"/>
      <c r="L23" s="418"/>
      <c r="M23" s="475">
        <v>1.20380363375</v>
      </c>
      <c r="N23" s="476">
        <v>-4.1188535416666561</v>
      </c>
      <c r="O23" s="418"/>
      <c r="P23" s="477">
        <v>1.166717233125</v>
      </c>
      <c r="Q23" s="478"/>
    </row>
    <row r="24" spans="1:25">
      <c r="A24" s="480"/>
      <c r="B24" s="481">
        <v>75</v>
      </c>
      <c r="C24" s="482">
        <v>4.42347</v>
      </c>
      <c r="D24" s="482">
        <v>0.1</v>
      </c>
      <c r="E24" s="482">
        <v>4</v>
      </c>
      <c r="F24" s="483">
        <v>8.5235000000000003</v>
      </c>
      <c r="G24" s="484">
        <v>1.0851999999999999</v>
      </c>
      <c r="H24" s="485">
        <v>1.07</v>
      </c>
      <c r="I24" s="486"/>
      <c r="J24" s="487">
        <v>1.1612</v>
      </c>
      <c r="K24" s="474"/>
      <c r="L24" s="418"/>
      <c r="M24" s="475">
        <v>1.2028147665000002</v>
      </c>
      <c r="N24" s="476">
        <v>-4.1435304166666853</v>
      </c>
      <c r="O24" s="418"/>
      <c r="P24" s="477">
        <v>1.164646141125</v>
      </c>
      <c r="Q24" s="478"/>
    </row>
    <row r="25" spans="1:25">
      <c r="A25" s="480"/>
      <c r="B25" s="481">
        <v>80</v>
      </c>
      <c r="C25" s="482">
        <v>4.322425</v>
      </c>
      <c r="D25" s="482">
        <v>0.1</v>
      </c>
      <c r="E25" s="482">
        <v>4</v>
      </c>
      <c r="F25" s="483">
        <v>8.4223999999999997</v>
      </c>
      <c r="G25" s="484">
        <v>1.0842000000000001</v>
      </c>
      <c r="H25" s="485">
        <v>1.07</v>
      </c>
      <c r="I25" s="486"/>
      <c r="J25" s="487">
        <v>1.1600999999999999</v>
      </c>
      <c r="K25" s="474"/>
      <c r="L25" s="418"/>
      <c r="M25" s="475">
        <v>1.2019495076562501</v>
      </c>
      <c r="N25" s="476">
        <v>-4.1651226822916554</v>
      </c>
      <c r="O25" s="418"/>
      <c r="P25" s="477">
        <v>1.1628339356250001</v>
      </c>
      <c r="Q25" s="478"/>
    </row>
    <row r="26" spans="1:25">
      <c r="A26" s="480"/>
      <c r="B26" s="481">
        <v>85</v>
      </c>
      <c r="C26" s="482">
        <v>4.233267647058824</v>
      </c>
      <c r="D26" s="482">
        <v>0.1</v>
      </c>
      <c r="E26" s="482">
        <v>4</v>
      </c>
      <c r="F26" s="483">
        <v>8.3332999999999995</v>
      </c>
      <c r="G26" s="484">
        <v>1.0832999999999999</v>
      </c>
      <c r="H26" s="485">
        <v>1.07</v>
      </c>
      <c r="I26" s="486"/>
      <c r="J26" s="487">
        <v>1.1592</v>
      </c>
      <c r="K26" s="474"/>
      <c r="L26" s="418"/>
      <c r="M26" s="475">
        <v>1.2011860439705884</v>
      </c>
      <c r="N26" s="476">
        <v>-4.1841746813725544</v>
      </c>
      <c r="O26" s="418"/>
      <c r="P26" s="477">
        <v>1.1612349307720589</v>
      </c>
      <c r="Q26" s="478"/>
    </row>
    <row r="27" spans="1:25">
      <c r="A27" s="480"/>
      <c r="B27" s="481">
        <v>90</v>
      </c>
      <c r="C27" s="482">
        <v>4.1540166666666671</v>
      </c>
      <c r="D27" s="482">
        <v>0.1</v>
      </c>
      <c r="E27" s="482">
        <v>4</v>
      </c>
      <c r="F27" s="483">
        <v>8.2539999999999996</v>
      </c>
      <c r="G27" s="484">
        <v>1.0825</v>
      </c>
      <c r="H27" s="485">
        <v>1.07</v>
      </c>
      <c r="I27" s="486"/>
      <c r="J27" s="487">
        <v>1.1583000000000001</v>
      </c>
      <c r="K27" s="474"/>
      <c r="L27" s="418"/>
      <c r="M27" s="475">
        <v>1.2005074095833335</v>
      </c>
      <c r="N27" s="476">
        <v>-4.2011097916666573</v>
      </c>
      <c r="O27" s="418"/>
      <c r="P27" s="477">
        <v>1.159813593125</v>
      </c>
      <c r="Q27" s="478"/>
    </row>
    <row r="28" spans="1:25">
      <c r="A28" s="480"/>
      <c r="B28" s="481">
        <v>95</v>
      </c>
      <c r="C28" s="482">
        <v>4.083107894736842</v>
      </c>
      <c r="D28" s="482">
        <v>0.1</v>
      </c>
      <c r="E28" s="482">
        <v>4</v>
      </c>
      <c r="F28" s="483">
        <v>8.1830999999999996</v>
      </c>
      <c r="G28" s="484">
        <v>1.0818000000000001</v>
      </c>
      <c r="H28" s="485">
        <v>1.07</v>
      </c>
      <c r="I28" s="486"/>
      <c r="J28" s="487">
        <v>1.1576</v>
      </c>
      <c r="K28" s="474"/>
      <c r="L28" s="418"/>
      <c r="M28" s="475">
        <v>1.1999002103947369</v>
      </c>
      <c r="N28" s="476">
        <v>-4.2162622587719412</v>
      </c>
      <c r="O28" s="418"/>
      <c r="P28" s="477">
        <v>1.1585418699671053</v>
      </c>
      <c r="Q28" s="478"/>
    </row>
    <row r="29" spans="1:25">
      <c r="A29" s="480"/>
      <c r="B29" s="481">
        <v>100</v>
      </c>
      <c r="C29" s="482">
        <v>4.0192899999999998</v>
      </c>
      <c r="D29" s="482">
        <v>0.1</v>
      </c>
      <c r="E29" s="482">
        <v>4</v>
      </c>
      <c r="F29" s="483">
        <v>8.1193000000000008</v>
      </c>
      <c r="G29" s="484">
        <v>1.0811999999999999</v>
      </c>
      <c r="H29" s="485">
        <v>1.07</v>
      </c>
      <c r="I29" s="486"/>
      <c r="J29" s="487">
        <v>1.1569</v>
      </c>
      <c r="K29" s="474"/>
      <c r="L29" s="418"/>
      <c r="M29" s="475">
        <v>1.1993537311250002</v>
      </c>
      <c r="N29" s="476">
        <v>-4.2298994791666766</v>
      </c>
      <c r="O29" s="418"/>
      <c r="P29" s="477">
        <v>1.157397319125</v>
      </c>
      <c r="Q29" s="478"/>
    </row>
    <row r="30" spans="1:25">
      <c r="A30" s="480"/>
      <c r="B30" s="481">
        <v>105</v>
      </c>
      <c r="C30" s="482">
        <v>4.1755500000000003</v>
      </c>
      <c r="D30" s="482">
        <v>0.1</v>
      </c>
      <c r="E30" s="482">
        <v>3.5</v>
      </c>
      <c r="F30" s="483">
        <v>7.7755999999999998</v>
      </c>
      <c r="G30" s="484">
        <v>1.0778000000000001</v>
      </c>
      <c r="H30" s="485">
        <v>1.07</v>
      </c>
      <c r="I30" s="486"/>
      <c r="J30" s="487">
        <v>1.1532</v>
      </c>
      <c r="K30" s="474"/>
      <c r="L30" s="418"/>
      <c r="M30" s="475">
        <v>1.1947759100000002</v>
      </c>
      <c r="N30" s="476">
        <v>-4.1399191666666724</v>
      </c>
      <c r="O30" s="418"/>
      <c r="P30" s="477">
        <v>1.1510398606250001</v>
      </c>
      <c r="Q30" s="478"/>
    </row>
    <row r="31" spans="1:25">
      <c r="A31" s="480"/>
      <c r="B31" s="481">
        <v>110</v>
      </c>
      <c r="C31" s="482">
        <v>4.0369681818181817</v>
      </c>
      <c r="D31" s="482">
        <v>0.1</v>
      </c>
      <c r="E31" s="482">
        <v>3.5</v>
      </c>
      <c r="F31" s="483">
        <v>7.6369999999999996</v>
      </c>
      <c r="G31" s="484">
        <v>1.0764</v>
      </c>
      <c r="H31" s="485">
        <v>1.07</v>
      </c>
      <c r="I31" s="486"/>
      <c r="J31" s="487">
        <v>1.1516999999999999</v>
      </c>
      <c r="K31" s="474"/>
      <c r="L31" s="418"/>
      <c r="M31" s="475">
        <v>1.1934517606818182</v>
      </c>
      <c r="N31" s="476">
        <v>-4.1557867803030391</v>
      </c>
      <c r="O31" s="418"/>
      <c r="P31" s="477">
        <v>1.1500167460795456</v>
      </c>
      <c r="Q31" s="478"/>
    </row>
    <row r="32" spans="1:25">
      <c r="A32" s="480"/>
      <c r="B32" s="481">
        <v>115</v>
      </c>
      <c r="C32" s="482">
        <v>3.9104369565217389</v>
      </c>
      <c r="D32" s="482">
        <v>0.1</v>
      </c>
      <c r="E32" s="482">
        <v>3.5</v>
      </c>
      <c r="F32" s="483">
        <v>7.5103999999999997</v>
      </c>
      <c r="G32" s="484">
        <v>1.0750999999999999</v>
      </c>
      <c r="H32" s="485">
        <v>1.07</v>
      </c>
      <c r="I32" s="486"/>
      <c r="J32" s="487">
        <v>1.1504000000000001</v>
      </c>
      <c r="K32" s="474"/>
      <c r="L32" s="418"/>
      <c r="M32" s="475">
        <v>1.1922427547826087</v>
      </c>
      <c r="N32" s="476">
        <v>-4.1702746014492753</v>
      </c>
      <c r="O32" s="418"/>
      <c r="P32" s="477">
        <v>1.1490825980163044</v>
      </c>
      <c r="Q32" s="478"/>
    </row>
    <row r="33" spans="1:17">
      <c r="A33" s="480"/>
      <c r="B33" s="481">
        <v>120</v>
      </c>
      <c r="C33" s="482">
        <v>3.7944499999999999</v>
      </c>
      <c r="D33" s="482">
        <v>0.1</v>
      </c>
      <c r="E33" s="482">
        <v>3.5</v>
      </c>
      <c r="F33" s="483">
        <v>7.3944999999999999</v>
      </c>
      <c r="G33" s="484">
        <v>1.0739000000000001</v>
      </c>
      <c r="H33" s="485">
        <v>1.07</v>
      </c>
      <c r="I33" s="486"/>
      <c r="J33" s="487">
        <v>1.1491</v>
      </c>
      <c r="K33" s="474"/>
      <c r="L33" s="418"/>
      <c r="M33" s="475">
        <v>1.1911344993750002</v>
      </c>
      <c r="N33" s="476">
        <v>-4.1835551041666585</v>
      </c>
      <c r="O33" s="418"/>
      <c r="P33" s="477">
        <v>1.148226295625</v>
      </c>
      <c r="Q33" s="478"/>
    </row>
    <row r="34" spans="1:17">
      <c r="A34" s="480"/>
      <c r="B34" s="481">
        <v>125</v>
      </c>
      <c r="C34" s="482">
        <v>3.6877420000000001</v>
      </c>
      <c r="D34" s="482">
        <v>0.1</v>
      </c>
      <c r="E34" s="482">
        <v>3.5</v>
      </c>
      <c r="F34" s="483">
        <v>7.2877000000000001</v>
      </c>
      <c r="G34" s="484">
        <v>1.0729</v>
      </c>
      <c r="H34" s="485">
        <v>1.07</v>
      </c>
      <c r="I34" s="486"/>
      <c r="J34" s="487">
        <v>1.1479999999999999</v>
      </c>
      <c r="K34" s="474"/>
      <c r="L34" s="418"/>
      <c r="M34" s="475">
        <v>1.1901149044000001</v>
      </c>
      <c r="N34" s="476">
        <v>-4.1957731666666831</v>
      </c>
      <c r="O34" s="418"/>
      <c r="P34" s="477">
        <v>1.147438497425</v>
      </c>
      <c r="Q34" s="478"/>
    </row>
    <row r="35" spans="1:17">
      <c r="A35" s="480"/>
      <c r="B35" s="481">
        <v>130</v>
      </c>
      <c r="C35" s="482">
        <v>3.5892423076923077</v>
      </c>
      <c r="D35" s="482">
        <v>0.1</v>
      </c>
      <c r="E35" s="482">
        <v>3.5</v>
      </c>
      <c r="F35" s="483">
        <v>7.1891999999999996</v>
      </c>
      <c r="G35" s="484">
        <v>1.0719000000000001</v>
      </c>
      <c r="H35" s="485">
        <v>1.07</v>
      </c>
      <c r="I35" s="486"/>
      <c r="J35" s="487">
        <v>1.1469</v>
      </c>
      <c r="K35" s="474"/>
      <c r="L35" s="418"/>
      <c r="M35" s="475">
        <v>1.1891737398076923</v>
      </c>
      <c r="N35" s="476">
        <v>-4.2070513782051178</v>
      </c>
      <c r="O35" s="418"/>
      <c r="P35" s="477">
        <v>1.1467112990865385</v>
      </c>
      <c r="Q35" s="478"/>
    </row>
    <row r="36" spans="1:17">
      <c r="A36" s="480"/>
      <c r="B36" s="481">
        <v>135</v>
      </c>
      <c r="C36" s="482">
        <v>3.4980388888888889</v>
      </c>
      <c r="D36" s="482">
        <v>0.1</v>
      </c>
      <c r="E36" s="482">
        <v>3.5</v>
      </c>
      <c r="F36" s="483">
        <v>7.0979999999999999</v>
      </c>
      <c r="G36" s="484">
        <v>1.071</v>
      </c>
      <c r="H36" s="485">
        <v>1.07</v>
      </c>
      <c r="I36" s="486"/>
      <c r="J36" s="487">
        <v>1.1458999999999999</v>
      </c>
      <c r="K36" s="474"/>
      <c r="L36" s="418"/>
      <c r="M36" s="475">
        <v>1.1883022911111112</v>
      </c>
      <c r="N36" s="476">
        <v>-4.2174941666666577</v>
      </c>
      <c r="O36" s="418"/>
      <c r="P36" s="477">
        <v>1.146037967291667</v>
      </c>
      <c r="Q36" s="478"/>
    </row>
    <row r="37" spans="1:17">
      <c r="A37" s="480"/>
      <c r="B37" s="481">
        <v>140</v>
      </c>
      <c r="C37" s="482">
        <v>3.4133499999999999</v>
      </c>
      <c r="D37" s="482">
        <v>0.1</v>
      </c>
      <c r="E37" s="482">
        <v>3.5</v>
      </c>
      <c r="F37" s="483">
        <v>7.0133999999999999</v>
      </c>
      <c r="G37" s="484">
        <v>1.0701000000000001</v>
      </c>
      <c r="H37" s="485">
        <v>1.07</v>
      </c>
      <c r="I37" s="486"/>
      <c r="J37" s="487">
        <v>1.145</v>
      </c>
      <c r="K37" s="474"/>
      <c r="L37" s="418"/>
      <c r="M37" s="475">
        <v>1.1874930887500001</v>
      </c>
      <c r="N37" s="476">
        <v>-4.2271910416666669</v>
      </c>
      <c r="O37" s="418"/>
      <c r="P37" s="477">
        <v>1.1454127306249999</v>
      </c>
      <c r="Q37" s="478"/>
    </row>
    <row r="38" spans="1:17">
      <c r="A38" s="480"/>
      <c r="B38" s="481">
        <v>145</v>
      </c>
      <c r="C38" s="482">
        <v>3.3345017241379304</v>
      </c>
      <c r="D38" s="482">
        <v>0.1</v>
      </c>
      <c r="E38" s="482">
        <v>3.5</v>
      </c>
      <c r="F38" s="483">
        <v>6.9344999999999999</v>
      </c>
      <c r="G38" s="484">
        <v>1.0692999999999999</v>
      </c>
      <c r="H38" s="485">
        <v>1.07</v>
      </c>
      <c r="I38" s="486"/>
      <c r="J38" s="487">
        <v>1.1442000000000001</v>
      </c>
      <c r="K38" s="474"/>
      <c r="L38" s="418"/>
      <c r="M38" s="475">
        <v>1.1867396934482759</v>
      </c>
      <c r="N38" s="476">
        <v>-4.2362191666666549</v>
      </c>
      <c r="O38" s="418"/>
      <c r="P38" s="477">
        <v>1.1448306137284483</v>
      </c>
      <c r="Q38" s="478"/>
    </row>
    <row r="39" spans="1:17">
      <c r="A39" s="480"/>
      <c r="B39" s="481">
        <v>150</v>
      </c>
      <c r="C39" s="482">
        <v>3.26091</v>
      </c>
      <c r="D39" s="482">
        <v>0.1</v>
      </c>
      <c r="E39" s="482">
        <v>3.5</v>
      </c>
      <c r="F39" s="483">
        <v>6.8609</v>
      </c>
      <c r="G39" s="484">
        <v>1.0686</v>
      </c>
      <c r="H39" s="485">
        <v>1.07</v>
      </c>
      <c r="I39" s="486"/>
      <c r="J39" s="487">
        <v>1.1434</v>
      </c>
      <c r="K39" s="474"/>
      <c r="L39" s="418"/>
      <c r="M39" s="475">
        <v>1.1860365245</v>
      </c>
      <c r="N39" s="476">
        <v>-4.2446454166666703</v>
      </c>
      <c r="O39" s="418"/>
      <c r="P39" s="477">
        <v>1.1442873046250002</v>
      </c>
      <c r="Q39" s="478"/>
    </row>
    <row r="40" spans="1:17">
      <c r="A40" s="480"/>
      <c r="B40" s="481">
        <v>155</v>
      </c>
      <c r="C40" s="482">
        <v>3.1920661290322578</v>
      </c>
      <c r="D40" s="482">
        <v>0.1</v>
      </c>
      <c r="E40" s="482">
        <v>3.5</v>
      </c>
      <c r="F40" s="483">
        <v>6.7920999999999996</v>
      </c>
      <c r="G40" s="484">
        <v>1.0679000000000001</v>
      </c>
      <c r="H40" s="485">
        <v>1.07</v>
      </c>
      <c r="I40" s="486"/>
      <c r="J40" s="487">
        <v>1.1427</v>
      </c>
      <c r="K40" s="474"/>
      <c r="L40" s="418"/>
      <c r="M40" s="475">
        <v>1.1853787212903228</v>
      </c>
      <c r="N40" s="476">
        <v>-4.2525280376344066</v>
      </c>
      <c r="O40" s="418"/>
      <c r="P40" s="477">
        <v>1.1437790477217744</v>
      </c>
      <c r="Q40" s="478"/>
    </row>
    <row r="41" spans="1:17">
      <c r="A41" s="480"/>
      <c r="B41" s="481">
        <v>160</v>
      </c>
      <c r="C41" s="482">
        <v>3.1275250000000003</v>
      </c>
      <c r="D41" s="482">
        <v>0.1</v>
      </c>
      <c r="E41" s="482">
        <v>3.5</v>
      </c>
      <c r="F41" s="483">
        <v>6.7275</v>
      </c>
      <c r="G41" s="484">
        <v>1.0672999999999999</v>
      </c>
      <c r="H41" s="485">
        <v>1.07</v>
      </c>
      <c r="I41" s="486"/>
      <c r="J41" s="487">
        <v>1.1419999999999999</v>
      </c>
      <c r="K41" s="474"/>
      <c r="L41" s="418"/>
      <c r="M41" s="475">
        <v>1.1847620307812501</v>
      </c>
      <c r="N41" s="476">
        <v>-4.2599179947916621</v>
      </c>
      <c r="O41" s="418"/>
      <c r="P41" s="477">
        <v>1.1433025568749999</v>
      </c>
      <c r="Q41" s="478"/>
    </row>
    <row r="42" spans="1:17">
      <c r="A42" s="480"/>
      <c r="B42" s="481">
        <v>165</v>
      </c>
      <c r="C42" s="482">
        <v>3.0668954545454543</v>
      </c>
      <c r="D42" s="482">
        <v>0.1</v>
      </c>
      <c r="E42" s="482">
        <v>3.5</v>
      </c>
      <c r="F42" s="483">
        <v>6.6669</v>
      </c>
      <c r="G42" s="484">
        <v>1.0667</v>
      </c>
      <c r="H42" s="485">
        <v>1.07</v>
      </c>
      <c r="I42" s="486"/>
      <c r="J42" s="487">
        <v>1.1413</v>
      </c>
      <c r="K42" s="474"/>
      <c r="L42" s="418"/>
      <c r="M42" s="475">
        <v>1.1841827154545455</v>
      </c>
      <c r="N42" s="476">
        <v>-4.2668600757575614</v>
      </c>
      <c r="O42" s="418"/>
      <c r="P42" s="477">
        <v>1.1428549442613636</v>
      </c>
      <c r="Q42" s="478"/>
    </row>
    <row r="43" spans="1:17">
      <c r="A43" s="480"/>
      <c r="B43" s="481">
        <v>170</v>
      </c>
      <c r="C43" s="482">
        <v>3.0098323529411761</v>
      </c>
      <c r="D43" s="482">
        <v>0.1</v>
      </c>
      <c r="E43" s="482">
        <v>3.5</v>
      </c>
      <c r="F43" s="483">
        <v>6.6097999999999999</v>
      </c>
      <c r="G43" s="484">
        <v>1.0661</v>
      </c>
      <c r="H43" s="485">
        <v>1.07</v>
      </c>
      <c r="I43" s="486"/>
      <c r="J43" s="487">
        <v>1.1407</v>
      </c>
      <c r="K43" s="474"/>
      <c r="L43" s="418"/>
      <c r="M43" s="475">
        <v>1.1836374775000003</v>
      </c>
      <c r="N43" s="476">
        <v>-4.2733937990196313</v>
      </c>
      <c r="O43" s="418"/>
      <c r="P43" s="477">
        <v>1.1424336618014705</v>
      </c>
      <c r="Q43" s="478"/>
    </row>
    <row r="44" spans="1:17">
      <c r="A44" s="480"/>
      <c r="B44" s="481">
        <v>175</v>
      </c>
      <c r="C44" s="482">
        <v>2.9560299999999997</v>
      </c>
      <c r="D44" s="482">
        <v>0.1</v>
      </c>
      <c r="E44" s="482">
        <v>3.5</v>
      </c>
      <c r="F44" s="483">
        <v>6.556</v>
      </c>
      <c r="G44" s="484">
        <v>1.0656000000000001</v>
      </c>
      <c r="H44" s="485">
        <v>1.07</v>
      </c>
      <c r="I44" s="486"/>
      <c r="J44" s="487">
        <v>1.1400999999999999</v>
      </c>
      <c r="K44" s="474"/>
      <c r="L44" s="418"/>
      <c r="M44" s="475">
        <v>1.183123396</v>
      </c>
      <c r="N44" s="476">
        <v>-4.2795541666666548</v>
      </c>
      <c r="O44" s="418"/>
      <c r="P44" s="477">
        <v>1.142036452625</v>
      </c>
      <c r="Q44" s="478"/>
    </row>
    <row r="45" spans="1:17">
      <c r="A45" s="480"/>
      <c r="B45" s="481">
        <v>180</v>
      </c>
      <c r="C45" s="482">
        <v>2.9052166666666666</v>
      </c>
      <c r="D45" s="482">
        <v>0.1</v>
      </c>
      <c r="E45" s="482">
        <v>3.5</v>
      </c>
      <c r="F45" s="483">
        <v>6.5052000000000003</v>
      </c>
      <c r="G45" s="484">
        <v>1.0650999999999999</v>
      </c>
      <c r="H45" s="485">
        <v>1.07</v>
      </c>
      <c r="I45" s="486"/>
      <c r="J45" s="487">
        <v>1.1395999999999999</v>
      </c>
      <c r="K45" s="474"/>
      <c r="L45" s="418"/>
      <c r="M45" s="475">
        <v>1.1826378745833332</v>
      </c>
      <c r="N45" s="476">
        <v>-4.2853722916666559</v>
      </c>
      <c r="O45" s="418"/>
      <c r="P45" s="477">
        <v>1.141661310625</v>
      </c>
      <c r="Q45" s="478"/>
    </row>
    <row r="46" spans="1:17">
      <c r="A46" s="480"/>
      <c r="B46" s="481">
        <v>185</v>
      </c>
      <c r="C46" s="482">
        <v>2.8571499999999999</v>
      </c>
      <c r="D46" s="482">
        <v>0.1</v>
      </c>
      <c r="E46" s="482">
        <v>3.5</v>
      </c>
      <c r="F46" s="483">
        <v>6.4572000000000003</v>
      </c>
      <c r="G46" s="484">
        <v>1.0646</v>
      </c>
      <c r="H46" s="485">
        <v>1.07</v>
      </c>
      <c r="I46" s="486"/>
      <c r="J46" s="487">
        <v>1.1391</v>
      </c>
      <c r="K46" s="474"/>
      <c r="L46" s="418"/>
      <c r="M46" s="475">
        <v>1.1821785975675676</v>
      </c>
      <c r="N46" s="476">
        <v>-4.2908759234234317</v>
      </c>
      <c r="O46" s="418"/>
      <c r="P46" s="477">
        <v>1.1413064465709459</v>
      </c>
      <c r="Q46" s="478"/>
    </row>
    <row r="47" spans="1:17">
      <c r="A47" s="480"/>
      <c r="B47" s="481">
        <v>190</v>
      </c>
      <c r="C47" s="482">
        <v>2.8116131578947368</v>
      </c>
      <c r="D47" s="482">
        <v>0.1</v>
      </c>
      <c r="E47" s="482">
        <v>3.5</v>
      </c>
      <c r="F47" s="483">
        <v>6.4116</v>
      </c>
      <c r="G47" s="484">
        <v>1.0641</v>
      </c>
      <c r="H47" s="485">
        <v>1.07</v>
      </c>
      <c r="I47" s="486"/>
      <c r="J47" s="487">
        <v>1.1386000000000001</v>
      </c>
      <c r="K47" s="474"/>
      <c r="L47" s="418"/>
      <c r="M47" s="475">
        <v>1.181743493026316</v>
      </c>
      <c r="N47" s="476">
        <v>-4.2960898903508848</v>
      </c>
      <c r="O47" s="418"/>
      <c r="P47" s="477">
        <v>1.1409702595723685</v>
      </c>
      <c r="Q47" s="478"/>
    </row>
    <row r="48" spans="1:17">
      <c r="A48" s="480"/>
      <c r="B48" s="481">
        <v>195</v>
      </c>
      <c r="C48" s="482">
        <v>2.768411538461538</v>
      </c>
      <c r="D48" s="482">
        <v>0.1</v>
      </c>
      <c r="E48" s="482">
        <v>3.5</v>
      </c>
      <c r="F48" s="483">
        <v>6.3684000000000003</v>
      </c>
      <c r="G48" s="484">
        <v>1.0637000000000001</v>
      </c>
      <c r="H48" s="485">
        <v>1.07</v>
      </c>
      <c r="I48" s="486"/>
      <c r="J48" s="487">
        <v>1.1380999999999999</v>
      </c>
      <c r="K48" s="474"/>
      <c r="L48" s="418"/>
      <c r="M48" s="475">
        <v>1.1813307015384615</v>
      </c>
      <c r="N48" s="476">
        <v>-4.3010364743589546</v>
      </c>
      <c r="O48" s="418"/>
      <c r="P48" s="477">
        <v>1.1406513129326923</v>
      </c>
      <c r="Q48" s="478"/>
    </row>
    <row r="49" spans="1:17" s="351" customFormat="1" ht="21.75" thickBot="1">
      <c r="A49" s="488" t="s">
        <v>378</v>
      </c>
      <c r="B49" s="489">
        <v>200</v>
      </c>
      <c r="C49" s="490">
        <v>2.7273700000000001</v>
      </c>
      <c r="D49" s="491">
        <v>0.1</v>
      </c>
      <c r="E49" s="490">
        <v>3.5</v>
      </c>
      <c r="F49" s="492">
        <v>6.3273999999999999</v>
      </c>
      <c r="G49" s="493">
        <v>1.0632999999999999</v>
      </c>
      <c r="H49" s="490">
        <v>1.07</v>
      </c>
      <c r="I49" s="491"/>
      <c r="J49" s="494">
        <v>1.1376999999999999</v>
      </c>
      <c r="K49" s="495"/>
      <c r="L49" s="496"/>
      <c r="M49" s="497">
        <v>1.180938549625</v>
      </c>
      <c r="N49" s="498">
        <v>-4.3057357291666598</v>
      </c>
      <c r="O49" s="496"/>
      <c r="P49" s="499">
        <v>1.1403483136250001</v>
      </c>
      <c r="Q49" s="500"/>
    </row>
    <row r="50" spans="1:17">
      <c r="A50" s="420"/>
      <c r="B50" s="501"/>
      <c r="C50" s="486"/>
      <c r="D50" s="486"/>
      <c r="E50" s="486"/>
      <c r="F50" s="486"/>
      <c r="G50" s="486"/>
      <c r="H50" s="486"/>
      <c r="I50" s="486"/>
      <c r="J50" s="502"/>
      <c r="K50" s="502"/>
      <c r="L50" s="418"/>
      <c r="M50" s="418"/>
      <c r="N50" s="419"/>
      <c r="O50" s="418"/>
      <c r="P50" s="503"/>
      <c r="Q50" s="503"/>
    </row>
    <row r="51" spans="1:17">
      <c r="A51" s="504"/>
      <c r="B51" s="505" t="s">
        <v>373</v>
      </c>
      <c r="C51" s="506" t="s">
        <v>374</v>
      </c>
      <c r="D51" s="507"/>
      <c r="E51" s="507"/>
      <c r="F51" s="507"/>
      <c r="G51" s="507"/>
      <c r="H51" s="508"/>
      <c r="I51" s="507"/>
      <c r="J51" s="509"/>
      <c r="K51" s="509"/>
      <c r="M51" s="409"/>
      <c r="N51" s="409"/>
      <c r="O51" s="409"/>
      <c r="P51" s="409"/>
      <c r="Q51" s="409"/>
    </row>
    <row r="52" spans="1:17">
      <c r="A52" s="511"/>
      <c r="C52" s="506" t="s">
        <v>1791</v>
      </c>
      <c r="D52" s="507"/>
      <c r="E52" s="507"/>
      <c r="F52" s="507"/>
      <c r="G52" s="507"/>
      <c r="H52" s="508"/>
      <c r="I52" s="507"/>
      <c r="J52" s="512"/>
      <c r="K52" s="512"/>
      <c r="M52" s="417"/>
      <c r="N52" s="417"/>
      <c r="O52" s="417"/>
      <c r="P52" s="417"/>
      <c r="Q52" s="417"/>
    </row>
    <row r="53" spans="1:17">
      <c r="A53" s="511"/>
      <c r="B53" s="420"/>
      <c r="C53" s="513"/>
      <c r="D53" s="513"/>
      <c r="E53" s="513"/>
      <c r="F53" s="513"/>
      <c r="G53" s="513"/>
      <c r="H53" s="513"/>
      <c r="I53" s="513"/>
      <c r="J53" s="514"/>
      <c r="K53" s="515"/>
      <c r="L53" s="515"/>
      <c r="M53" s="515"/>
      <c r="N53" s="515"/>
      <c r="O53" s="515"/>
    </row>
    <row r="54" spans="1:17">
      <c r="A54" s="1775"/>
      <c r="B54" s="1775"/>
      <c r="C54" s="1775"/>
      <c r="D54" s="1775"/>
      <c r="E54" s="1775"/>
      <c r="F54" s="1775"/>
      <c r="G54" s="1775"/>
      <c r="H54" s="1775"/>
      <c r="I54" s="1775"/>
      <c r="J54" s="1775"/>
      <c r="K54" s="1775"/>
      <c r="L54" s="516"/>
      <c r="M54" s="516"/>
      <c r="N54" s="516"/>
      <c r="O54" s="516"/>
    </row>
    <row r="55" spans="1:17">
      <c r="A55" s="516"/>
      <c r="B55" s="516"/>
      <c r="C55" s="516"/>
      <c r="D55" s="516"/>
      <c r="E55" s="516"/>
      <c r="F55" s="516"/>
      <c r="G55" s="516"/>
      <c r="H55" s="516"/>
      <c r="I55" s="516"/>
      <c r="J55" s="516"/>
      <c r="K55" s="516"/>
      <c r="L55" s="516"/>
      <c r="M55" s="516"/>
      <c r="N55" s="516"/>
      <c r="O55" s="516"/>
    </row>
    <row r="109" spans="17:17" ht="34.5">
      <c r="Q109" s="517"/>
    </row>
    <row r="134" spans="1:15">
      <c r="A134" s="297"/>
      <c r="B134" s="297"/>
      <c r="C134" s="297"/>
      <c r="D134" s="297"/>
      <c r="E134" s="297"/>
      <c r="F134" s="297"/>
      <c r="G134" s="297"/>
      <c r="H134" s="297"/>
      <c r="I134" s="297"/>
      <c r="J134" s="297"/>
      <c r="K134" s="297"/>
      <c r="L134" s="432"/>
      <c r="M134" s="432"/>
      <c r="N134" s="432"/>
      <c r="O134" s="432"/>
    </row>
    <row r="135" spans="1:15">
      <c r="A135" s="297"/>
      <c r="B135" s="297"/>
      <c r="C135" s="297"/>
      <c r="D135" s="297"/>
      <c r="E135" s="297"/>
      <c r="F135" s="297"/>
      <c r="G135" s="297"/>
      <c r="H135" s="297"/>
      <c r="I135" s="297"/>
      <c r="J135" s="297"/>
      <c r="K135" s="297"/>
      <c r="L135" s="432"/>
      <c r="M135" s="432"/>
      <c r="N135" s="432"/>
      <c r="O135" s="432"/>
    </row>
    <row r="136" spans="1:15">
      <c r="A136" s="297"/>
      <c r="B136" s="297"/>
      <c r="C136" s="297"/>
      <c r="D136" s="297"/>
      <c r="E136" s="297"/>
      <c r="F136" s="297"/>
      <c r="G136" s="297"/>
      <c r="H136" s="297"/>
      <c r="I136" s="297"/>
      <c r="J136" s="297"/>
      <c r="K136" s="297"/>
      <c r="L136" s="432"/>
      <c r="M136" s="432"/>
      <c r="N136" s="432"/>
      <c r="O136" s="432"/>
    </row>
    <row r="137" spans="1:15">
      <c r="A137" s="297"/>
      <c r="B137" s="297"/>
      <c r="C137" s="297"/>
      <c r="D137" s="297"/>
      <c r="E137" s="297"/>
      <c r="F137" s="297"/>
      <c r="G137" s="297"/>
      <c r="H137" s="297"/>
      <c r="I137" s="297"/>
      <c r="J137" s="297"/>
      <c r="K137" s="297"/>
      <c r="L137" s="432"/>
      <c r="M137" s="432"/>
      <c r="N137" s="432"/>
      <c r="O137" s="432"/>
    </row>
    <row r="138" spans="1:15">
      <c r="A138" s="297"/>
      <c r="B138" s="297"/>
      <c r="C138" s="297"/>
      <c r="D138" s="297"/>
      <c r="E138" s="297"/>
      <c r="F138" s="297"/>
      <c r="G138" s="297"/>
      <c r="H138" s="297"/>
      <c r="I138" s="297"/>
      <c r="J138" s="297"/>
      <c r="K138" s="297"/>
      <c r="L138" s="432"/>
      <c r="M138" s="432"/>
      <c r="N138" s="432"/>
      <c r="O138" s="432"/>
    </row>
    <row r="139" spans="1:15">
      <c r="A139" s="297"/>
      <c r="B139" s="297"/>
      <c r="C139" s="297"/>
      <c r="D139" s="297"/>
      <c r="E139" s="297"/>
      <c r="F139" s="297"/>
      <c r="G139" s="297"/>
      <c r="H139" s="297"/>
      <c r="I139" s="297"/>
      <c r="J139" s="297"/>
      <c r="K139" s="297"/>
      <c r="L139" s="432"/>
      <c r="M139" s="432"/>
      <c r="N139" s="432"/>
      <c r="O139" s="432"/>
    </row>
    <row r="140" spans="1:15">
      <c r="A140" s="297"/>
      <c r="B140" s="297"/>
      <c r="C140" s="297"/>
      <c r="D140" s="297"/>
      <c r="E140" s="297"/>
      <c r="F140" s="297"/>
      <c r="G140" s="297"/>
      <c r="H140" s="297"/>
      <c r="I140" s="297"/>
      <c r="J140" s="297"/>
      <c r="K140" s="297"/>
      <c r="L140" s="432"/>
      <c r="M140" s="432"/>
      <c r="N140" s="432"/>
      <c r="O140" s="432"/>
    </row>
    <row r="141" spans="1:15">
      <c r="A141" s="297"/>
      <c r="B141" s="297"/>
      <c r="C141" s="297"/>
      <c r="D141" s="297"/>
      <c r="E141" s="297"/>
      <c r="F141" s="297"/>
      <c r="G141" s="297"/>
      <c r="H141" s="297"/>
      <c r="I141" s="297"/>
      <c r="J141" s="297"/>
      <c r="K141" s="297"/>
      <c r="L141" s="432"/>
      <c r="M141" s="432"/>
      <c r="N141" s="432"/>
      <c r="O141" s="432"/>
    </row>
    <row r="142" spans="1:15">
      <c r="A142" s="297"/>
      <c r="B142" s="297"/>
      <c r="C142" s="297"/>
      <c r="D142" s="297"/>
      <c r="E142" s="297"/>
      <c r="F142" s="297"/>
      <c r="G142" s="297"/>
      <c r="H142" s="297"/>
      <c r="I142" s="297"/>
      <c r="J142" s="297"/>
      <c r="K142" s="297"/>
      <c r="L142" s="432"/>
      <c r="M142" s="432"/>
      <c r="N142" s="432"/>
      <c r="O142" s="432"/>
    </row>
    <row r="143" spans="1:15">
      <c r="A143" s="297"/>
      <c r="B143" s="297"/>
      <c r="C143" s="297"/>
      <c r="D143" s="297"/>
      <c r="E143" s="297"/>
      <c r="F143" s="297"/>
      <c r="G143" s="297"/>
      <c r="H143" s="297"/>
      <c r="I143" s="297"/>
      <c r="J143" s="297"/>
      <c r="K143" s="297"/>
      <c r="L143" s="432"/>
      <c r="M143" s="432"/>
      <c r="N143" s="432"/>
      <c r="O143" s="432"/>
    </row>
    <row r="144" spans="1:15">
      <c r="A144" s="297"/>
      <c r="B144" s="297"/>
      <c r="C144" s="297"/>
      <c r="D144" s="297"/>
      <c r="E144" s="297"/>
      <c r="F144" s="297"/>
      <c r="G144" s="297"/>
      <c r="H144" s="297"/>
      <c r="I144" s="297"/>
      <c r="J144" s="297"/>
      <c r="K144" s="297"/>
      <c r="L144" s="432"/>
      <c r="M144" s="432"/>
      <c r="N144" s="432"/>
      <c r="O144" s="432"/>
    </row>
    <row r="145" spans="1:15">
      <c r="A145" s="297"/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  <c r="L145" s="432"/>
      <c r="M145" s="432"/>
      <c r="N145" s="432"/>
      <c r="O145" s="432"/>
    </row>
    <row r="146" spans="1:15">
      <c r="A146" s="297"/>
      <c r="B146" s="297"/>
      <c r="C146" s="297"/>
      <c r="D146" s="297"/>
      <c r="E146" s="297"/>
      <c r="F146" s="297"/>
      <c r="G146" s="297"/>
      <c r="H146" s="297"/>
      <c r="I146" s="297"/>
      <c r="J146" s="297"/>
      <c r="K146" s="297"/>
      <c r="L146" s="432"/>
      <c r="M146" s="432"/>
      <c r="N146" s="432"/>
      <c r="O146" s="432"/>
    </row>
    <row r="147" spans="1:15">
      <c r="A147" s="297"/>
      <c r="B147" s="297"/>
      <c r="C147" s="297"/>
      <c r="D147" s="297"/>
      <c r="E147" s="297"/>
      <c r="F147" s="297"/>
      <c r="G147" s="297"/>
      <c r="H147" s="297"/>
      <c r="I147" s="297"/>
      <c r="J147" s="297"/>
      <c r="K147" s="297"/>
      <c r="L147" s="432"/>
      <c r="M147" s="432"/>
      <c r="N147" s="432"/>
      <c r="O147" s="432"/>
    </row>
    <row r="148" spans="1:15">
      <c r="A148" s="297"/>
      <c r="B148" s="297"/>
      <c r="C148" s="297"/>
      <c r="D148" s="297"/>
      <c r="E148" s="297"/>
      <c r="F148" s="297"/>
      <c r="G148" s="297"/>
      <c r="H148" s="297"/>
      <c r="I148" s="297"/>
      <c r="J148" s="297"/>
      <c r="K148" s="297"/>
      <c r="L148" s="432"/>
      <c r="M148" s="432"/>
      <c r="N148" s="432"/>
      <c r="O148" s="432"/>
    </row>
    <row r="149" spans="1:15">
      <c r="A149" s="297"/>
      <c r="B149" s="297"/>
      <c r="C149" s="297"/>
      <c r="D149" s="297"/>
      <c r="E149" s="297"/>
      <c r="F149" s="297"/>
      <c r="G149" s="297"/>
      <c r="H149" s="297"/>
      <c r="I149" s="297"/>
      <c r="J149" s="297"/>
      <c r="K149" s="297"/>
      <c r="L149" s="432"/>
      <c r="M149" s="432"/>
      <c r="N149" s="432"/>
      <c r="O149" s="432"/>
    </row>
    <row r="150" spans="1:15">
      <c r="A150" s="297"/>
      <c r="B150" s="297"/>
      <c r="C150" s="297"/>
      <c r="D150" s="297"/>
      <c r="E150" s="297"/>
      <c r="F150" s="297"/>
      <c r="G150" s="297"/>
      <c r="H150" s="297"/>
      <c r="I150" s="297"/>
      <c r="J150" s="297"/>
      <c r="K150" s="297"/>
      <c r="L150" s="432"/>
      <c r="M150" s="432"/>
      <c r="N150" s="432"/>
      <c r="O150" s="432"/>
    </row>
    <row r="151" spans="1:15">
      <c r="A151" s="297"/>
      <c r="B151" s="297"/>
      <c r="C151" s="297"/>
      <c r="D151" s="297"/>
      <c r="E151" s="297"/>
      <c r="F151" s="297"/>
      <c r="G151" s="297"/>
      <c r="H151" s="297"/>
      <c r="I151" s="297"/>
      <c r="J151" s="297"/>
      <c r="K151" s="297"/>
      <c r="L151" s="432"/>
      <c r="M151" s="432"/>
      <c r="N151" s="432"/>
      <c r="O151" s="432"/>
    </row>
  </sheetData>
  <mergeCells count="21">
    <mergeCell ref="S16:S19"/>
    <mergeCell ref="T16:T19"/>
    <mergeCell ref="U18:Y19"/>
    <mergeCell ref="U16:Y17"/>
    <mergeCell ref="R8:R9"/>
    <mergeCell ref="T8:T9"/>
    <mergeCell ref="R16:R19"/>
    <mergeCell ref="A54:K54"/>
    <mergeCell ref="A7:B7"/>
    <mergeCell ref="C7:F7"/>
    <mergeCell ref="I7:K8"/>
    <mergeCell ref="P7:Q8"/>
    <mergeCell ref="A9:B9"/>
    <mergeCell ref="J9:K9"/>
    <mergeCell ref="P9:Q9"/>
    <mergeCell ref="P6:Q6"/>
    <mergeCell ref="A1:L1"/>
    <mergeCell ref="A2:L2"/>
    <mergeCell ref="A6:B6"/>
    <mergeCell ref="C6:F6"/>
    <mergeCell ref="J6:K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17</vt:i4>
      </vt:variant>
      <vt:variant>
        <vt:lpstr>ช่วงที่มีชื่อ</vt:lpstr>
      </vt:variant>
      <vt:variant>
        <vt:i4>40</vt:i4>
      </vt:variant>
    </vt:vector>
  </HeadingPairs>
  <TitlesOfParts>
    <vt:vector size="57" baseType="lpstr">
      <vt:lpstr>สรุป ปปช.</vt:lpstr>
      <vt:lpstr>ปก</vt:lpstr>
      <vt:lpstr>Soil</vt:lpstr>
      <vt:lpstr>ปร.5 ท</vt:lpstr>
      <vt:lpstr>ปร.4_1</vt:lpstr>
      <vt:lpstr>ปร.4_2</vt:lpstr>
      <vt:lpstr>ปร.4_1 ท</vt:lpstr>
      <vt:lpstr>ทางเชื่อม (AC)</vt:lpstr>
      <vt:lpstr>เปรียบเทียบราคาวัสดุ</vt:lpstr>
      <vt:lpstr>ข้อมูลแหล่งราคาวัสดุ</vt:lpstr>
      <vt:lpstr>ราคาต้นทุนงานทาง</vt:lpstr>
      <vt:lpstr>งานป้ายจราจรระหว่างการก่อสร</vt:lpstr>
      <vt:lpstr>ค่าดำเนินการ</vt:lpstr>
      <vt:lpstr>บรรทุกสิบล้อ</vt:lpstr>
      <vt:lpstr>บรรทุกสิบล้อ+ลากพ่วง</vt:lpstr>
      <vt:lpstr>F ทาง</vt:lpstr>
      <vt:lpstr>F สะพาน</vt:lpstr>
      <vt:lpstr>Box_Cell</vt:lpstr>
      <vt:lpstr>Box_size</vt:lpstr>
      <vt:lpstr>Date</vt:lpstr>
      <vt:lpstr>Month</vt:lpstr>
      <vt:lpstr>Soil!Print_Area</vt:lpstr>
      <vt:lpstr>ข้อมูลแหล่งราคาวัสดุ!Print_Area</vt:lpstr>
      <vt:lpstr>ค่าดำเนินการ!Print_Area</vt:lpstr>
      <vt:lpstr>งานป้ายจราจรระหว่างการก่อสร!Print_Area</vt:lpstr>
      <vt:lpstr>'ทางเชื่อม (AC)'!Print_Area</vt:lpstr>
      <vt:lpstr>ปก!Print_Area</vt:lpstr>
      <vt:lpstr>ปร.4_1!Print_Area</vt:lpstr>
      <vt:lpstr>'ปร.4_1 ท'!Print_Area</vt:lpstr>
      <vt:lpstr>ปร.4_2!Print_Area</vt:lpstr>
      <vt:lpstr>'ปร.5 ท'!Print_Area</vt:lpstr>
      <vt:lpstr>เปรียบเทียบราคาวัสดุ!Print_Area</vt:lpstr>
      <vt:lpstr>ราคาต้นทุนงานทาง!Print_Area</vt:lpstr>
      <vt:lpstr>Soil!Print_Titles</vt:lpstr>
      <vt:lpstr>ข้อมูลแหล่งราคาวัสดุ!Print_Titles</vt:lpstr>
      <vt:lpstr>ค่าดำเนินการ!Print_Titles</vt:lpstr>
      <vt:lpstr>'ทางเชื่อม (AC)'!Print_Titles</vt:lpstr>
      <vt:lpstr>บรรทุกสิบล้อ!Print_Titles</vt:lpstr>
      <vt:lpstr>'บรรทุกสิบล้อ+ลากพ่วง'!Print_Titles</vt:lpstr>
      <vt:lpstr>ปร.4_1!Print_Titles</vt:lpstr>
      <vt:lpstr>ปร.4_2!Print_Titles</vt:lpstr>
      <vt:lpstr>เปรียบเทียบราคาวัสดุ!Print_Titles</vt:lpstr>
      <vt:lpstr>ราคาต้นทุนงานทาง!Print_Titles</vt:lpstr>
      <vt:lpstr>Rate_Oil</vt:lpstr>
      <vt:lpstr>Year</vt:lpstr>
      <vt:lpstr>ขนาดท่อกลม</vt:lpstr>
      <vt:lpstr>ความหนา_AC</vt:lpstr>
      <vt:lpstr>ความหนาผิวทางคอนกรีต</vt:lpstr>
      <vt:lpstr>ชื่อสายทาง</vt:lpstr>
      <vt:lpstr>ตารางที่_3</vt:lpstr>
      <vt:lpstr>ถางป่า</vt:lpstr>
      <vt:lpstr>ประเภทผิวจราจร</vt:lpstr>
      <vt:lpstr>ปากท่อ_คสล1</vt:lpstr>
      <vt:lpstr>ปากท่อ_คสล2</vt:lpstr>
      <vt:lpstr>ปากท่อ_คสล3</vt:lpstr>
      <vt:lpstr>รหัสสายทาง</vt:lpstr>
      <vt:lpstr>รางระบายน้ำตัวยู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kowit</dc:creator>
  <cp:lastModifiedBy>Windows User</cp:lastModifiedBy>
  <cp:lastPrinted>2020-07-03T04:18:33Z</cp:lastPrinted>
  <dcterms:created xsi:type="dcterms:W3CDTF">2011-08-22T05:33:39Z</dcterms:created>
  <dcterms:modified xsi:type="dcterms:W3CDTF">2020-07-09T02:57:24Z</dcterms:modified>
</cp:coreProperties>
</file>